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295" windowHeight="8790" activeTab="2"/>
  </bookViews>
  <sheets>
    <sheet name="Intro" sheetId="1" r:id="rId1"/>
    <sheet name="Desert-Inf" sheetId="2" r:id="rId2"/>
    <sheet name="Desert-Arm" sheetId="3" r:id="rId3"/>
    <sheet name="Desert-Mech" sheetId="4" r:id="rId4"/>
    <sheet name="NZ-Inf" sheetId="5" r:id="rId5"/>
    <sheet name="UKdata" sheetId="6" r:id="rId6"/>
  </sheets>
  <externalReferences>
    <externalReference r:id="rId9"/>
  </externalReferences>
  <definedNames>
    <definedName name="aaco">'UKdata'!$A$72:$A$73</definedName>
    <definedName name="aap">#REF!</definedName>
    <definedName name="aapq">#REF!</definedName>
    <definedName name="abaa">'[1]Amdata'!$A$101:$A$102</definedName>
    <definedName name="ABaic">'[1]Amdata'!$A$30:$A$32</definedName>
    <definedName name="abart1">'[1]Amdata'!$A$113:$A$114</definedName>
    <definedName name="abart2">'[1]Amdata'!$A$116:$A$117</definedName>
    <definedName name="abart3">'[1]Amdata'!$A$119:$A$120</definedName>
    <definedName name="abat">'[1]Amdata'!$A$45:$A$46</definedName>
    <definedName name="abcan">'[1]Amdata'!$A$49:$A$50</definedName>
    <definedName name="abeng">'[1]Amdata'!$A$54:$A$56</definedName>
    <definedName name="abeng2">'[1]Amdata'!$A$58:$A$60</definedName>
    <definedName name="abeng3">'[1]Amdata'!$A$62:$A$63</definedName>
    <definedName name="abhc">'[1]Amdata'!$A$132:$A$138</definedName>
    <definedName name="abhmg">'[1]Amdata'!$A$38:$A$39</definedName>
    <definedName name="ABhq1">'[1]Amdata'!$A$20:$A$22</definedName>
    <definedName name="ABhq2">'[1]Amdata'!$A$24:$A$25</definedName>
    <definedName name="abhv">'[1]Amdata'!$A$124:$A$130</definedName>
    <definedName name="abitp">'[1]Amdata'!$A$96:$A$99</definedName>
    <definedName name="abjumbo">'[1]Amdata'!$A$92:$A$93</definedName>
    <definedName name="ABltk">'[1]Amdata'!$A$83:$A$85</definedName>
    <definedName name="abmor">'[1]Amdata'!$A$41:$A$42</definedName>
    <definedName name="abmtk">'[1]Amdata'!$A$87:$A$90</definedName>
    <definedName name="ABrec">'[1]Amdata'!$A$34:$A$35</definedName>
    <definedName name="abrec1">'[1]Amdata'!$A$110:$A$111</definedName>
    <definedName name="abrec2">'[1]Amdata'!$A$107:$A$108</definedName>
    <definedName name="abrec3">'[1]Amdata'!$A$104:$A$105</definedName>
    <definedName name="absptd">'[1]Amdata'!$A$78:$A$81</definedName>
    <definedName name="absptd2">'[1]Amdata'!$A$73:$A$76</definedName>
    <definedName name="abttd">'[1]Amdata'!$A$69:$A$70</definedName>
    <definedName name="abttd2">'[1]Amdata'!$A$65:$A$66</definedName>
    <definedName name="ABwpn">'[1]Amdata'!$A$27:$A$28</definedName>
    <definedName name="acrhq">'UKdata'!$A$172:$A$173</definedName>
    <definedName name="acsq">'UKdata'!$A$157:$A$159</definedName>
    <definedName name="acsq2">'UKdata'!$A$158:$A$159</definedName>
    <definedName name="actr">'UKdata'!$A$161:$A$163</definedName>
    <definedName name="AddM4">#REF!</definedName>
    <definedName name="Addtoon">#REF!</definedName>
    <definedName name="Addzook">#REF!</definedName>
    <definedName name="angk">#REF!</definedName>
    <definedName name="angz">#REF!</definedName>
    <definedName name="armb2">'UKdata'!$A$132:$A$139</definedName>
    <definedName name="armbatthq">'UKdata'!$A$93:$A$97</definedName>
    <definedName name="armbatthq21">'UKdata'!$A$94:$A$97</definedName>
    <definedName name="armbrig">'UKdata'!$A$128:$A$130</definedName>
    <definedName name="ArmInf">#REF!</definedName>
    <definedName name="ArmInfCo">#REF!</definedName>
    <definedName name="ArmInfCoQ">#REF!</definedName>
    <definedName name="armpl">'UKdata'!$A$141:$A$145</definedName>
    <definedName name="art1">'UKdata'!$A$75:$A$77</definedName>
    <definedName name="art2">'UKdata'!$A$79:$A$81</definedName>
    <definedName name="art3">'UKdata'!$A$83:$A$84</definedName>
    <definedName name="art4">'UKdata'!$A$86:$A$87</definedName>
    <definedName name="art45">'UKdata'!$A$89:$A$91</definedName>
    <definedName name="art5">'UKdata'!$A$89:$A$91</definedName>
    <definedName name="art8">'UKdata'!$A$84</definedName>
    <definedName name="artb">#REF!</definedName>
    <definedName name="artbq">#REF!</definedName>
    <definedName name="atb">'UKdata'!$A$39:$A$41</definedName>
    <definedName name="atpl">'UKdata'!#REF!</definedName>
    <definedName name="ATplatoon">#REF!</definedName>
    <definedName name="atpsp">#REF!</definedName>
    <definedName name="atpspq">#REF!</definedName>
    <definedName name="atreg">'UKdata'!#REF!</definedName>
    <definedName name="att">'UKdata'!$A$35:$A$37</definedName>
    <definedName name="att2">'UKdata'!$A$36:$A$37</definedName>
    <definedName name="B2Q">#REF!</definedName>
    <definedName name="batt2">'UKdata'!$A$17:$A$18</definedName>
    <definedName name="batt2hq">'UKdata'!#REF!</definedName>
    <definedName name="batt2k">'UKdata'!$A$17:$A$20</definedName>
    <definedName name="Batt2n">#REF!</definedName>
    <definedName name="batthq">'UKdata'!$A$19:$A$20</definedName>
    <definedName name="battrec">'UKdata'!$A$99:$A$103</definedName>
    <definedName name="battrec2">'UKdata'!$A$100:$A$103</definedName>
    <definedName name="Brig">'UKdata'!$A$13:$A$15</definedName>
    <definedName name="brit01">#REF!</definedName>
    <definedName name="brit02">#REF!</definedName>
    <definedName name="brit03">#REF!</definedName>
    <definedName name="brit04">#REF!</definedName>
    <definedName name="brit05">#REF!</definedName>
    <definedName name="brit06">#REF!</definedName>
    <definedName name="brit07">#REF!</definedName>
    <definedName name="brit08">#REF!</definedName>
    <definedName name="brit09">#REF!</definedName>
    <definedName name="brit10">#REF!</definedName>
    <definedName name="brit11">#REF!</definedName>
    <definedName name="brit12">#REF!</definedName>
    <definedName name="brit13">#REF!</definedName>
    <definedName name="brit14">#REF!</definedName>
    <definedName name="brit15">#REF!</definedName>
    <definedName name="brit16">#REF!</definedName>
    <definedName name="brit17">#REF!</definedName>
    <definedName name="brit18">#REF!</definedName>
    <definedName name="brit19">#REF!</definedName>
    <definedName name="brit20">#REF!</definedName>
    <definedName name="brit21">#REF!</definedName>
    <definedName name="brit22">#REF!</definedName>
    <definedName name="brit23">#REF!</definedName>
    <definedName name="brit24">#REF!</definedName>
    <definedName name="brit25">#REF!</definedName>
    <definedName name="brit31">#REF!</definedName>
    <definedName name="brit31a">#REF!</definedName>
    <definedName name="brit32">#REF!</definedName>
    <definedName name="brit32a">#REF!</definedName>
    <definedName name="brit32b">#REF!</definedName>
    <definedName name="brithq">#REF!</definedName>
    <definedName name="brithq2">#REF!</definedName>
    <definedName name="canc">#REF!</definedName>
    <definedName name="cancq">#REF!</definedName>
    <definedName name="canis">#REF!</definedName>
    <definedName name="CannonCo">#REF!</definedName>
    <definedName name="CBG">#REF!</definedName>
    <definedName name="cmdtyp">#REF!</definedName>
    <definedName name="cmp">#REF!</definedName>
    <definedName name="cmpq">#REF!</definedName>
    <definedName name="CoreBatt">#REF!</definedName>
    <definedName name="corerife">'[1]Amdata'!$A$11:$A$14</definedName>
    <definedName name="crac">#REF!</definedName>
    <definedName name="cracq">#REF!</definedName>
    <definedName name="crj">#REF!</definedName>
    <definedName name="crjq">#REF!</definedName>
    <definedName name="crsq">'UKdata'!$A$105:$A$112</definedName>
    <definedName name="crsq2">'UKdata'!$A$114:$A$118</definedName>
    <definedName name="crt">#REF!</definedName>
    <definedName name="crtq">#REF!</definedName>
    <definedName name="divcav">'UKdata'!$A$64:$A$67</definedName>
    <definedName name="dob">#REF!</definedName>
    <definedName name="doffb">#REF!</definedName>
    <definedName name="dsa">#REF!</definedName>
    <definedName name="dsart">#REF!</definedName>
    <definedName name="dsartq">#REF!</definedName>
    <definedName name="Eco">#REF!</definedName>
    <definedName name="Ecoq">#REF!</definedName>
    <definedName name="eng">#REF!</definedName>
    <definedName name="engco">'UKdata'!$A$43:$A$45</definedName>
    <definedName name="EngCoy">#REF!</definedName>
    <definedName name="engpl">'UKdata'!$A$47:$A$48</definedName>
    <definedName name="EngPlt">#REF!</definedName>
    <definedName name="engtr">#REF!</definedName>
    <definedName name="EngTrucks">#REF!</definedName>
    <definedName name="enpl">'UKdata'!$A$42:$A$44</definedName>
    <definedName name="ensq">'UKdata'!$A$37:$A$40</definedName>
    <definedName name="ETr">#REF!</definedName>
    <definedName name="fahrrad">#REF!</definedName>
    <definedName name="fahrrad2">#REF!</definedName>
    <definedName name="force">'UKdata'!$F$1:$F$4</definedName>
    <definedName name="fusil">#REF!</definedName>
    <definedName name="fusil2">#REF!</definedName>
    <definedName name="gebat2">#REF!</definedName>
    <definedName name="gebat2q">#REF!</definedName>
    <definedName name="gebgq">#REF!</definedName>
    <definedName name="gehc">#REF!</definedName>
    <definedName name="gehc1">#REF!</definedName>
    <definedName name="gehv">#REF!</definedName>
    <definedName name="gehv1">#REF!</definedName>
    <definedName name="gehv2">#REF!</definedName>
    <definedName name="gergt">#REF!</definedName>
    <definedName name="gergtq">#REF!</definedName>
    <definedName name="getrk">#REF!</definedName>
    <definedName name="gewe">#REF!</definedName>
    <definedName name="gsa">#REF!</definedName>
    <definedName name="gsart">#REF!</definedName>
    <definedName name="gsartq">#REF!</definedName>
    <definedName name="haa">#REF!</definedName>
    <definedName name="hcr">'UKdata'!#REF!</definedName>
    <definedName name="hhh">'UKdata'!$F$2</definedName>
    <definedName name="hmgp">#REF!</definedName>
    <definedName name="hmgpq">#REF!</definedName>
    <definedName name="hvr">'UKdata'!#REF!</definedName>
    <definedName name="hvr1">'UKdata'!#REF!</definedName>
    <definedName name="hvr2">'UKdata'!#REF!</definedName>
    <definedName name="hvr4">'UKdata'!#REF!</definedName>
    <definedName name="HWC">#REF!</definedName>
    <definedName name="HWCQ">#REF!</definedName>
    <definedName name="IE">#REF!</definedName>
    <definedName name="IEQ">#REF!</definedName>
    <definedName name="inco">'UKdata'!$A$6:$A$10</definedName>
    <definedName name="inco2">'UKdata'!$A$10</definedName>
    <definedName name="inco3">'UKdata'!$A$9:$A$10</definedName>
    <definedName name="indtk">#REF!</definedName>
    <definedName name="indtkq">#REF!</definedName>
    <definedName name="ittd">#REF!</definedName>
    <definedName name="ittdq">#REF!</definedName>
    <definedName name="Jumbo">#REF!</definedName>
    <definedName name="JumboQ">#REF!</definedName>
    <definedName name="LTC">#REF!</definedName>
    <definedName name="LTCQ">#REF!</definedName>
    <definedName name="ltsq">'UKdata'!$A$120:$A$126</definedName>
    <definedName name="magr">'UKdata'!$L$2:$L$4</definedName>
    <definedName name="mbhq">'UKdata'!$A$169:$A$170</definedName>
    <definedName name="mbrig">'UKdata'!$A$165:$A$167</definedName>
    <definedName name="mgco">'UKdata'!$A$69:$A$70</definedName>
    <definedName name="mgpl">'UKdata'!#REF!</definedName>
    <definedName name="mgpl1">'UKdata'!#REF!</definedName>
    <definedName name="MGplt">#REF!</definedName>
    <definedName name="moco">'UKdata'!$A$147:$A$155</definedName>
    <definedName name="moco2">'UKdata'!$A$148:$A$155</definedName>
    <definedName name="MortarCo">#REF!</definedName>
    <definedName name="MTC">#REF!</definedName>
    <definedName name="MTCQ">#REF!</definedName>
    <definedName name="nzegr">'UKdata'!$H$2:$H$4</definedName>
    <definedName name="nzgr">'UKdata'!$I$2:$I$4</definedName>
    <definedName name="oreBatt">#REF!</definedName>
    <definedName name="promco">#REF!</definedName>
    <definedName name="promvet">#REF!</definedName>
    <definedName name="promvet1">#REF!</definedName>
    <definedName name="pzgr2">#REF!</definedName>
    <definedName name="pzgru1">#REF!</definedName>
    <definedName name="pzgru2">#REF!</definedName>
    <definedName name="pziv">#REF!</definedName>
    <definedName name="pzjk">#REF!</definedName>
    <definedName name="pzju">#REF!</definedName>
    <definedName name="pzsh">#REF!</definedName>
    <definedName name="pzz">#REF!</definedName>
    <definedName name="qu">#REF!</definedName>
    <definedName name="qu1">'UKdata'!$E$1:$E$4</definedName>
    <definedName name="qua">'UKdata'!$A$2:$A$4</definedName>
    <definedName name="qual">'[1]Amdata'!$E$1:$E$4</definedName>
    <definedName name="RCo">#REF!</definedName>
    <definedName name="RcoQ">#REF!</definedName>
    <definedName name="rcp">#REF!</definedName>
    <definedName name="rcpq">#REF!</definedName>
    <definedName name="Recon1">#REF!</definedName>
    <definedName name="recpz">#REF!</definedName>
    <definedName name="RegHQ">#REF!</definedName>
    <definedName name="RegtHQ">#REF!</definedName>
    <definedName name="repl">'UKdata'!#REF!</definedName>
    <definedName name="resq">'UKdata'!#REF!</definedName>
    <definedName name="rgat">#REF!</definedName>
    <definedName name="rha1">'UKdata'!$A$175:$A$176</definedName>
    <definedName name="rha2">'UKdata'!$A$178:$A$179</definedName>
    <definedName name="rha3">'UKdata'!$A$181:$A$182</definedName>
    <definedName name="rha4">'UKdata'!$A$184:$A$185</definedName>
    <definedName name="rib">#REF!</definedName>
    <definedName name="rifco">'[1]Amdata'!$A$6:$A$14</definedName>
    <definedName name="RifleCo">#REF!</definedName>
    <definedName name="RifleCoy">#REF!</definedName>
    <definedName name="ruart">#REF!</definedName>
    <definedName name="ruat">#REF!</definedName>
    <definedName name="ruat2">#REF!</definedName>
    <definedName name="ruatb">#REF!</definedName>
    <definedName name="ruatr">#REF!</definedName>
    <definedName name="rueng">#REF!</definedName>
    <definedName name="rueng2">#REF!</definedName>
    <definedName name="rueng3">#REF!</definedName>
    <definedName name="rufab">#REF!</definedName>
    <definedName name="rugs">#REF!</definedName>
    <definedName name="ruhc">#REF!</definedName>
    <definedName name="ruhc1">#REF!</definedName>
    <definedName name="ruhc4">#REF!</definedName>
    <definedName name="ruhv">#REF!</definedName>
    <definedName name="ruhv1">#REF!</definedName>
    <definedName name="ruhv2">#REF!</definedName>
    <definedName name="rukat">#REF!</definedName>
    <definedName name="rumo">#REF!</definedName>
    <definedName name="rureco">#REF!</definedName>
    <definedName name="ruRegt">#REF!</definedName>
    <definedName name="ruri">#REF!</definedName>
    <definedName name="ruri1">#REF!</definedName>
    <definedName name="ruriu1">#REF!</definedName>
    <definedName name="rusu">#REF!</definedName>
    <definedName name="rutare">#REF!</definedName>
    <definedName name="shko">#REF!</definedName>
    <definedName name="shko1">#REF!</definedName>
    <definedName name="shkoq">#REF!</definedName>
    <definedName name="spat">'UKdata'!#REF!</definedName>
    <definedName name="spat2">'UKdata'!#REF!</definedName>
    <definedName name="SPTD">#REF!</definedName>
    <definedName name="SPTDq">#REF!</definedName>
    <definedName name="t34a">#REF!</definedName>
    <definedName name="t34u1">#REF!</definedName>
    <definedName name="t34u2">#REF!</definedName>
    <definedName name="t34u3">#REF!</definedName>
    <definedName name="ta34">#REF!</definedName>
    <definedName name="tat">#REF!</definedName>
    <definedName name="tatq">#REF!</definedName>
    <definedName name="tbat">'UKdata'!$A$59:$A$62</definedName>
    <definedName name="tco">'UKdata'!#REF!</definedName>
    <definedName name="tco2">'UKdata'!#REF!</definedName>
    <definedName name="TDco">#REF!</definedName>
    <definedName name="TDplt">#REF!</definedName>
    <definedName name="Tiger">#REF!</definedName>
    <definedName name="tpl">'UKdata'!$A$50:$A$52</definedName>
    <definedName name="trco">'UKdata'!$A$23:$A$30</definedName>
    <definedName name="treg">'UKdata'!#REF!</definedName>
    <definedName name="trk2">'[1]Amdata'!$A$16:$A$18</definedName>
    <definedName name="tsq">'UKdata'!$A$54:$A$57</definedName>
    <definedName name="ttdc">#REF!</definedName>
    <definedName name="ttdcq">#REF!</definedName>
    <definedName name="ucar">'UKdata'!$A$32:$A$33</definedName>
    <definedName name="unsu">#REF!</definedName>
    <definedName name="WpnCoy">#REF!</definedName>
    <definedName name="Xarmour">#REF!</definedName>
    <definedName name="XRifle">#REF!</definedName>
    <definedName name="XTruck">#REF!</definedName>
    <definedName name="XZook">#REF!</definedName>
  </definedNames>
  <calcPr fullCalcOnLoad="1"/>
</workbook>
</file>

<file path=xl/sharedStrings.xml><?xml version="1.0" encoding="utf-8"?>
<sst xmlns="http://schemas.openxmlformats.org/spreadsheetml/2006/main" count="990" uniqueCount="354">
  <si>
    <t>No independent Engineers</t>
  </si>
  <si>
    <t>Reg-8</t>
  </si>
  <si>
    <t>Exp-8</t>
  </si>
  <si>
    <t>Vet-9</t>
  </si>
  <si>
    <t>Choose Quality for your Core Battle Group:</t>
  </si>
  <si>
    <t>HQ:</t>
  </si>
  <si>
    <t>No Brigade HQ</t>
  </si>
  <si>
    <t>Brigade HQ</t>
  </si>
  <si>
    <t>How to use these spreadsheets</t>
  </si>
  <si>
    <t xml:space="preserve">I hope this should be pretty simple - just click on the tab at the bottom, for whichever battle group you want. </t>
  </si>
  <si>
    <t>First, choose the morale of the core battlegroup, then pick what options, and what morale for those options.</t>
  </si>
  <si>
    <t>All choices are dropdown boxes, and are highlighted with a light background.</t>
  </si>
  <si>
    <t>There are numerous error-detection boxes that will show red Errors when you choose conflicting or forbidden combinations</t>
  </si>
  <si>
    <t>There are also some instructions for some options: hover the cursor over that option &amp; it should show you any specific instructions for the option</t>
  </si>
  <si>
    <t>Two suggestions:</t>
  </si>
  <si>
    <t>1&gt; Save this as Read-only, then modify &amp; Save As &lt;new name&gt; when you create new lists</t>
  </si>
  <si>
    <t>2&gt; Don’t change the data in the data sheets - small changes can cascade &amp; make catastrophic alterations to the battlegroup sheets.</t>
  </si>
  <si>
    <t xml:space="preserve">This is v1.0 </t>
  </si>
  <si>
    <t>I'll work on a new version that includes stats for all the T&amp;E that has been chosen.</t>
  </si>
  <si>
    <t>The running total of points-spent should always show at the upper right.</t>
  </si>
  <si>
    <t>Ord1</t>
  </si>
  <si>
    <t>Ord2</t>
  </si>
  <si>
    <t>Ord3</t>
  </si>
  <si>
    <t>Ord4</t>
  </si>
  <si>
    <t>Ord5</t>
  </si>
  <si>
    <t>Ord6</t>
  </si>
  <si>
    <t>Ord7</t>
  </si>
  <si>
    <t>Ord8</t>
  </si>
  <si>
    <t>Ord9</t>
  </si>
  <si>
    <t>Ord10</t>
  </si>
  <si>
    <t>Ord11</t>
  </si>
  <si>
    <t>Ord12</t>
  </si>
  <si>
    <t>Ord13</t>
  </si>
  <si>
    <t>Ord14</t>
  </si>
  <si>
    <t>Ord15</t>
  </si>
  <si>
    <t>Ord16</t>
  </si>
  <si>
    <t>Ord17</t>
  </si>
  <si>
    <t>Ord18</t>
  </si>
  <si>
    <t>Ord19</t>
  </si>
  <si>
    <t>Ord20</t>
  </si>
  <si>
    <t>Holding</t>
  </si>
  <si>
    <t>Reserve</t>
  </si>
  <si>
    <t>Assault</t>
  </si>
  <si>
    <t>Holding Force</t>
  </si>
  <si>
    <t>Reserve Force</t>
  </si>
  <si>
    <t>Assault Force</t>
  </si>
  <si>
    <t>Ord21</t>
  </si>
  <si>
    <t>Ord22</t>
  </si>
  <si>
    <t>Ord23</t>
  </si>
  <si>
    <t>Ord24</t>
  </si>
  <si>
    <t>Ord25</t>
  </si>
  <si>
    <t>Ord26</t>
  </si>
  <si>
    <t>Ord27</t>
  </si>
  <si>
    <t>Ord28</t>
  </si>
  <si>
    <t>Ord29</t>
  </si>
  <si>
    <t>Ord30</t>
  </si>
  <si>
    <t>Hold</t>
  </si>
  <si>
    <t>H</t>
  </si>
  <si>
    <t>R</t>
  </si>
  <si>
    <t>A</t>
  </si>
  <si>
    <t>Total:</t>
  </si>
  <si>
    <t>Add Headquarters units</t>
  </si>
  <si>
    <t>Add Infantry units</t>
  </si>
  <si>
    <t>Add Recon units</t>
  </si>
  <si>
    <t>Ord31</t>
  </si>
  <si>
    <t>Ord32</t>
  </si>
  <si>
    <t>Ord33</t>
  </si>
  <si>
    <t>Ord34</t>
  </si>
  <si>
    <t>Ord35</t>
  </si>
  <si>
    <t>Ord36</t>
  </si>
  <si>
    <t>Ord37</t>
  </si>
  <si>
    <t>Ord38</t>
  </si>
  <si>
    <t>Ord39</t>
  </si>
  <si>
    <t>Ord40</t>
  </si>
  <si>
    <t>Ord41</t>
  </si>
  <si>
    <t>Ord42</t>
  </si>
  <si>
    <t>Ord43</t>
  </si>
  <si>
    <t>Ord44</t>
  </si>
  <si>
    <t>Ord45</t>
  </si>
  <si>
    <t>Ord46</t>
  </si>
  <si>
    <t>Ord47</t>
  </si>
  <si>
    <t>Ord48</t>
  </si>
  <si>
    <t>Force Disposition</t>
  </si>
  <si>
    <t>British Data</t>
  </si>
  <si>
    <t>No infantry company</t>
  </si>
  <si>
    <t>No 2nd Battalion HQ</t>
  </si>
  <si>
    <t>No Motor Company</t>
  </si>
  <si>
    <t>Cmd stand, car, Staff radio truck</t>
  </si>
  <si>
    <t>CMd stand, car</t>
  </si>
  <si>
    <t>Infantry Co</t>
  </si>
  <si>
    <t>Reinforced Infantry co</t>
  </si>
  <si>
    <t>Brigadier</t>
  </si>
  <si>
    <t>Reinforced Motor Co</t>
  </si>
  <si>
    <t>Batt HQCo</t>
  </si>
  <si>
    <t>Cmd stand, car</t>
  </si>
  <si>
    <t>v1.1</t>
  </si>
  <si>
    <t>Updated to allow force dispositions on a separate sheet (rather clumsily)</t>
  </si>
  <si>
    <t>v.1.2</t>
  </si>
  <si>
    <t>This is now reorganised to show Force dispositions at the bottom of the sheet, with the Arsenal of allowed troop types on a separate sheet</t>
  </si>
  <si>
    <t>Note: there is a trick with allocating - if you allocate the whole Core force at once, it uses the cost of the total (i.e.a discounted cost). If you allocate different pieces separately</t>
  </si>
  <si>
    <t xml:space="preserve">then it uses the cost of the individual pieces, which will result in the total of Hold+Reserve+Assault being &gt; 2000. I think this reflects the intentions of the authors, but </t>
  </si>
  <si>
    <t xml:space="preserve">could stand being corrected on this!  </t>
  </si>
  <si>
    <t>Next, allocate each unit (except the Core) to a Force, using the Dropdown boxes in Column J</t>
  </si>
  <si>
    <t>Note: if you allocate too many points to either Holding or Reserve force, it will flag an Error beside this total</t>
  </si>
  <si>
    <t>v.1.3</t>
  </si>
  <si>
    <t>This has now been amended per Glenn Kidd's instruction, so that the Core Force must all be allocated to Holding</t>
  </si>
  <si>
    <t>so ignore the note for v.1.2</t>
  </si>
  <si>
    <t>Batt HQ: Cmd, car</t>
  </si>
  <si>
    <t>3" Mortar, LMG stand, 1 Engineer, 3 light trucks</t>
  </si>
  <si>
    <t>AT platoon</t>
  </si>
  <si>
    <t>1 37mm Bofors AT gun portee</t>
  </si>
  <si>
    <t>1 Cmd/inf/Boys stand, 1 Rifle stands</t>
  </si>
  <si>
    <t>Cmd/Inf/Piat stand, 2 Rifle stands</t>
  </si>
  <si>
    <t>Infantry/AT Co</t>
  </si>
  <si>
    <t>1 Cmd/inf/Boys stand, 1 Rifle/Boys stand</t>
  </si>
  <si>
    <t>Cmd/Inf/Piat stand, 2 Rifle/Boys stands</t>
  </si>
  <si>
    <t>Reinforced Infantry/AT co</t>
  </si>
  <si>
    <t>Batt HQ &amp; extra mortar</t>
  </si>
  <si>
    <t>No Truck Company</t>
  </si>
  <si>
    <t>1 Truck Company</t>
  </si>
  <si>
    <t>4 Heavy Trucks</t>
  </si>
  <si>
    <t>2 Truck Companies</t>
  </si>
  <si>
    <t>3 Truck Cos</t>
  </si>
  <si>
    <t>4 Truck Co</t>
  </si>
  <si>
    <t>5 Truck Co</t>
  </si>
  <si>
    <t>6 Truck Co</t>
  </si>
  <si>
    <t>7 Truck Co</t>
  </si>
  <si>
    <t>8 Heavy Trucks</t>
  </si>
  <si>
    <t>12 Hvy Trucks</t>
  </si>
  <si>
    <t>16 Hvy Trucks</t>
  </si>
  <si>
    <t>20 Hvy Trucks</t>
  </si>
  <si>
    <t>24 Hvy Trucks</t>
  </si>
  <si>
    <t>28 Hvy Truck</t>
  </si>
  <si>
    <t>No Carriers</t>
  </si>
  <si>
    <t>Carrier platoon</t>
  </si>
  <si>
    <t>1 recon LMG std, 1 recce carrier</t>
  </si>
  <si>
    <t>No AT Troop</t>
  </si>
  <si>
    <t>37mm AT Troop</t>
  </si>
  <si>
    <t>2pdr AT Troop</t>
  </si>
  <si>
    <t>1 2pdr AT gun porte</t>
  </si>
  <si>
    <t>No AT Battery</t>
  </si>
  <si>
    <t>37mm AT Battery</t>
  </si>
  <si>
    <t>2pdr AT Battery</t>
  </si>
  <si>
    <t>1 Cmd/inf std, 1 light truck, 2 37mm Bofors AT guns portee</t>
  </si>
  <si>
    <t>1 Cmd/inf std, 1 light truck, 2 2pdr Bofors AT guns portee</t>
  </si>
  <si>
    <t>No Engineer Field Co</t>
  </si>
  <si>
    <t>Engineer Field Co</t>
  </si>
  <si>
    <t>1 Cmd/Engineer, 1 Engineer stds</t>
  </si>
  <si>
    <t>Motorised Engineer CO</t>
  </si>
  <si>
    <t>1 Cmd/Engineer, 1 Engineer stds, 1 Hvy Truck</t>
  </si>
  <si>
    <t>Engineer Platoon</t>
  </si>
  <si>
    <t>1 Engineer stand</t>
  </si>
  <si>
    <t>No Tank platoon</t>
  </si>
  <si>
    <t>Infantry Tank platoon</t>
  </si>
  <si>
    <t>1 Valentine II</t>
  </si>
  <si>
    <t>No Tank Squadron</t>
  </si>
  <si>
    <t>Infantry Tank Squadron</t>
  </si>
  <si>
    <t>1 Cmd/Valentine II, 1 Valentine II</t>
  </si>
  <si>
    <t>Partly upgraded Tank Squadron</t>
  </si>
  <si>
    <t>1 Cmd/Matilda II, 1 Valentine II</t>
  </si>
  <si>
    <t>upgraded Tank Squadron</t>
  </si>
  <si>
    <t>1 Cmd/Matilda II, 1 Matilda II</t>
  </si>
  <si>
    <t>upgraded Tank platoon</t>
  </si>
  <si>
    <t>1 Matilda II</t>
  </si>
  <si>
    <t xml:space="preserve">No Tank Battalion </t>
  </si>
  <si>
    <t>Tank Battalion HQ</t>
  </si>
  <si>
    <t>1 Cmd Valentine II, 1 recon Mark VIB, 1 supply truck</t>
  </si>
  <si>
    <t>partly upgraded Tank Battn</t>
  </si>
  <si>
    <t>1 Cmd/Matilda II,1 recon Mark VIB,1 supply truck</t>
  </si>
  <si>
    <t>upgraded Tank Battn</t>
  </si>
  <si>
    <t>1 Cmd/Matilda II, 1 Matilda II CS, 1 supply truck</t>
  </si>
  <si>
    <t>No Cavalry Squadron</t>
  </si>
  <si>
    <t>Divisional Cavalry Squadron</t>
  </si>
  <si>
    <t>1 Cmd std, 1 recon LMG stand, 2 Scout/recce carriers</t>
  </si>
  <si>
    <t>armoured Cavalry Squadron</t>
  </si>
  <si>
    <t>1 Cmd std,1  Mark VIB recon tank, 1 recon LMG stand, 2 Scout/recce carriers</t>
  </si>
  <si>
    <t>1 Cmd std, 2 Mark VIB recon tanks, 1 recon LMG stand, 2 Scout/recce carriers</t>
  </si>
  <si>
    <t>reinforced Cav Squadron</t>
  </si>
  <si>
    <t>No MG Company</t>
  </si>
  <si>
    <t>MG Company</t>
  </si>
  <si>
    <t>1 Cmd/inf/Boys std, 3 MMG stds, 4 light trucks</t>
  </si>
  <si>
    <t>No AA</t>
  </si>
  <si>
    <t>Lt AA Battery</t>
  </si>
  <si>
    <t>1 Cmd/inf/Boys std, 3 40L56 Bofors AA guns/crews, 4 lt trucks</t>
  </si>
  <si>
    <t>No onboard battery</t>
  </si>
  <si>
    <t>Dedicated onboard Arty</t>
  </si>
  <si>
    <t>1 Cmd/inf stand, 1 18pdr field gun, 1 4.5" howitzer, 1 light truck, 2 Quad trucks</t>
  </si>
  <si>
    <t>Upgraded onboard Arty</t>
  </si>
  <si>
    <t>1 Cmd/inf stand, 2 25pdr guns, 1 light truck, 2 Quads</t>
  </si>
  <si>
    <t>No off-dedicated arty</t>
  </si>
  <si>
    <t>Dedicated offboard Arty</t>
  </si>
  <si>
    <t>1 18pdr field gun, 1 4.5" howitzer</t>
  </si>
  <si>
    <t>upgraded Dedicated off-Arty</t>
  </si>
  <si>
    <t>2 25pdr field guns</t>
  </si>
  <si>
    <t>No onboard troop</t>
  </si>
  <si>
    <t>Onboard 25pdr troop</t>
  </si>
  <si>
    <t>1 25pdr gun/crew, 1 Quad mover</t>
  </si>
  <si>
    <t>No Field Regt</t>
  </si>
  <si>
    <t>Field Regt Artillery</t>
  </si>
  <si>
    <t>1 cmd/obs stand, 1 car (onboard), 2 25pdr guns, 1 supply truck (off)0</t>
  </si>
  <si>
    <t>No Medium Arty</t>
  </si>
  <si>
    <t>Medium Arty Battery</t>
  </si>
  <si>
    <t>1 60pdr gun (off)</t>
  </si>
  <si>
    <t>upgraded Medium Artillery</t>
  </si>
  <si>
    <t>1 6" Howitzer</t>
  </si>
  <si>
    <t>2nd Battalion HQ</t>
  </si>
  <si>
    <t>Cmd std, car, 1 3" mortar, 1 LMG stand, 1 Engineer, 3 Light Trucks</t>
  </si>
  <si>
    <t>Cmd std, car, 1 3" mortar dble stand, 1 LMG stand, 1 Engineer, 3 Light Trucks</t>
  </si>
  <si>
    <t>Antitank and Support Units</t>
  </si>
  <si>
    <t>Add Armoured units</t>
  </si>
  <si>
    <t>Add Artillery</t>
  </si>
  <si>
    <t>no onboard troop</t>
  </si>
  <si>
    <t>no Field Regt</t>
  </si>
  <si>
    <t>British Desert Infantry Group</t>
  </si>
  <si>
    <t>No Armoured Batt HQ</t>
  </si>
  <si>
    <t>Armoured Batt HQ</t>
  </si>
  <si>
    <t>1 Cmd/Mark VI B</t>
  </si>
  <si>
    <t>1 Cmd/A9 or A10</t>
  </si>
  <si>
    <t>1 Cmd/A13</t>
  </si>
  <si>
    <t>1 Cmd/A15</t>
  </si>
  <si>
    <t>Armoured Batt HQ (A9)</t>
  </si>
  <si>
    <t>Armoured Batt HQ (15)</t>
  </si>
  <si>
    <t>Armoured Batt HQ (A13)</t>
  </si>
  <si>
    <t>No Batt recon</t>
  </si>
  <si>
    <t>Batt recon</t>
  </si>
  <si>
    <t>Batt support A9</t>
  </si>
  <si>
    <t>Batt support A15</t>
  </si>
  <si>
    <t>Batt support A13</t>
  </si>
  <si>
    <t>1 Recon Mk VIb light tank</t>
  </si>
  <si>
    <t>1 A9 CS tank</t>
  </si>
  <si>
    <t>1 A13 CS tank</t>
  </si>
  <si>
    <t>1 A10 CS tank</t>
  </si>
  <si>
    <t>No Cruiser Squadron</t>
  </si>
  <si>
    <t>Light Cruiser Squadron</t>
  </si>
  <si>
    <t>1 Cmd/Mark VI B, 1 Mark VI B</t>
  </si>
  <si>
    <t>1 Cmd/A9, 1 Mark VI B</t>
  </si>
  <si>
    <t>1 Cmd/A9, 1 A9</t>
  </si>
  <si>
    <t>1 Cmd/A13, 1 A9</t>
  </si>
  <si>
    <t>1 Cmd/A13, 1 A13</t>
  </si>
  <si>
    <t>Light Cruiser Squadron 2</t>
  </si>
  <si>
    <t>A9 cruiser sq</t>
  </si>
  <si>
    <t>A9 cruiser sq upgraded</t>
  </si>
  <si>
    <t>A13 cruiser sq</t>
  </si>
  <si>
    <t>A13 cruiser sq upgraded</t>
  </si>
  <si>
    <t>A15 cruiser sq</t>
  </si>
  <si>
    <t>1 Cmd/A15 or Honey, 1 A13</t>
  </si>
  <si>
    <t>1 Cmd/A15 or Honey, 1 A15 or Honey</t>
  </si>
  <si>
    <t>core A9 cruiser sq upgraded</t>
  </si>
  <si>
    <t>core A13 cruiser sq upgraded</t>
  </si>
  <si>
    <t>A9 Light sq</t>
  </si>
  <si>
    <t>A9 Light sq upgraded</t>
  </si>
  <si>
    <t>A13 Light sq</t>
  </si>
  <si>
    <t>A13 Light sq upgraded</t>
  </si>
  <si>
    <t>A15 Light sq</t>
  </si>
  <si>
    <t>Light Squadron</t>
  </si>
  <si>
    <t>Light Squadron 2</t>
  </si>
  <si>
    <t>No Armoured Brigade HQ</t>
  </si>
  <si>
    <t>Armoured Brigade HQ</t>
  </si>
  <si>
    <t>Cmd/A9, Cmd/A10, or Cmd/A13 cruiser</t>
  </si>
  <si>
    <t>Cmd/A9, Cmd/A10, or Cmd/A13 cruiser, staff radio truck</t>
  </si>
  <si>
    <t>Brigadier in tank</t>
  </si>
  <si>
    <t>1 Cmd/Mark VI B, 1 Mk VIB recce</t>
  </si>
  <si>
    <t>No 2nd/3rd Armoured Batt HQ</t>
  </si>
  <si>
    <t>2nd/3rd Armoured Batt HQ</t>
  </si>
  <si>
    <t>2nd/3rd Armoured Batt HQ (A9)</t>
  </si>
  <si>
    <t>2nd/3rd Armoured Batt HQ (A13)</t>
  </si>
  <si>
    <t>2nd/3rd Armoured Batt HQ (15)</t>
  </si>
  <si>
    <t>1 Cmd/A13,1 Mk VIB recce</t>
  </si>
  <si>
    <t>1 Cmd/A15, 1 Mk VIB recce</t>
  </si>
  <si>
    <t>1 Cmd/A9 or A10, 1 Mk VIB recce</t>
  </si>
  <si>
    <t>1 Cmd/A9 or A10, 1 A9 CS</t>
  </si>
  <si>
    <t>1 Cmd/A13,1 A10 CS</t>
  </si>
  <si>
    <t>1 Cmd/A15, 1 A13 CS</t>
  </si>
  <si>
    <t>2nd/3rd Armoured Batt HQ (A9/CS)</t>
  </si>
  <si>
    <t>2nd/3rd Armoured Batt HQ (A13/CS)</t>
  </si>
  <si>
    <t>2nd/3rd Armoured Batt HQ (15/CS)</t>
  </si>
  <si>
    <t>Mark 6 platoon</t>
  </si>
  <si>
    <t>A13 platoon</t>
  </si>
  <si>
    <t>A9/A10 platoon</t>
  </si>
  <si>
    <t>A15 platoon</t>
  </si>
  <si>
    <t>1 A15</t>
  </si>
  <si>
    <t>1 A13</t>
  </si>
  <si>
    <t>1 A9 or A10</t>
  </si>
  <si>
    <t>1 Mk VI b light tank</t>
  </si>
  <si>
    <t>Motor Company</t>
  </si>
  <si>
    <t>Motor Company with ATR</t>
  </si>
  <si>
    <t>Reinforced Motor Co with ATR</t>
  </si>
  <si>
    <t>Strong Motor Co</t>
  </si>
  <si>
    <t>1 Cmd/inf/Boys std, 1 inf std, 2 light trucks</t>
  </si>
  <si>
    <t>1 Cmd/inf/Boys std, 1 inf/ATR std, 2 light trucks</t>
  </si>
  <si>
    <t>Strong Motor Co with ATR</t>
  </si>
  <si>
    <t>1 Cmd/inf/Boys std, 2 inf std, 3 light trucks</t>
  </si>
  <si>
    <t>1 Cmd/inf/Boys std, 2 inf/ATR std, 3 light trucks</t>
  </si>
  <si>
    <t>Motor Co with Carrier</t>
  </si>
  <si>
    <t>Motor Co with Carrier, ATR</t>
  </si>
  <si>
    <t>1 Cmd/inf/Boys std, 1 inf std, 2 light trucks, 1 recon/LMG std, 1 carrier</t>
  </si>
  <si>
    <t>1 Cmd/inf/Boys std, 1 inf/ATR std, 2 light trucks, 1 recon/LMG std, 1 carrier</t>
  </si>
  <si>
    <t>1 Cmd/inf/Boys std, 2 inf std, 3 light trucks, 1 recon/LMG std, 1 carrier</t>
  </si>
  <si>
    <t>1 Cmd/inf/Boys std, 2 inf/ATR std, 3 light trucks, 1 recon/LMG std, 1 carrier</t>
  </si>
  <si>
    <t>Add Infantry and support units</t>
  </si>
  <si>
    <t>No Armoured Car Squadron</t>
  </si>
  <si>
    <t>Armoured Car Squadron</t>
  </si>
  <si>
    <t>Upgunned Armoured car squadron</t>
  </si>
  <si>
    <t>No Armoured Car troop</t>
  </si>
  <si>
    <t>Armoured Car troop</t>
  </si>
  <si>
    <t>upgunned Armoured car troop</t>
  </si>
  <si>
    <t>1 Marmon-Herrington II/III upgunned to any listed</t>
  </si>
  <si>
    <t>1 Rolls Royce or Marmon-H or Humber I-III a/car</t>
  </si>
  <si>
    <t>1 Cmd/Morris a/car, 1 Rolls Royce a/car, or 2 Marmon or Humber I-III a/car</t>
  </si>
  <si>
    <t>No 2nd Infantry Battn HQ</t>
  </si>
  <si>
    <t>UK Desert Armoured Group</t>
  </si>
  <si>
    <t>core A9 cruiser squadron</t>
  </si>
  <si>
    <t>No Independent Engineers</t>
  </si>
  <si>
    <t>No Armoured Car Troop</t>
  </si>
  <si>
    <t>core A13 cruiser squadron</t>
  </si>
  <si>
    <t>core A15 cruiser squadron</t>
  </si>
  <si>
    <t>UK Desert Mechanised Group</t>
  </si>
  <si>
    <t>Mechanised Batt HQ</t>
  </si>
  <si>
    <t>car, Cmd stand</t>
  </si>
  <si>
    <t>No Mech Brigade HQ</t>
  </si>
  <si>
    <t>Mech Brigadier</t>
  </si>
  <si>
    <t>Mech Brigade HQ</t>
  </si>
  <si>
    <t>Cmd stand, car, radio truck, supply truck</t>
  </si>
  <si>
    <t>No 2nd Motor Batt HQ</t>
  </si>
  <si>
    <t>2nd Motor Batt HQ</t>
  </si>
  <si>
    <t>Add Motorised support units</t>
  </si>
  <si>
    <t>No A/car Regimental HQ</t>
  </si>
  <si>
    <t>A/car Regimental HQ</t>
  </si>
  <si>
    <t>1 Cmd/Morris A/car</t>
  </si>
  <si>
    <t>No RHA onboard Battery</t>
  </si>
  <si>
    <t>RHA onboard Battery</t>
  </si>
  <si>
    <t>No RHA offboard Battery</t>
  </si>
  <si>
    <t>RHA offboard Battery</t>
  </si>
  <si>
    <t>Cmd/inf std, light truck, 2 25pdr gun/crew, 2 Quads</t>
  </si>
  <si>
    <t>2 25pdr guns (offboard)</t>
  </si>
  <si>
    <t>No RHA Regt HQ</t>
  </si>
  <si>
    <t>RHA Regt HQ</t>
  </si>
  <si>
    <t>Cmd/obs stand, car, Mdm Supply Truck</t>
  </si>
  <si>
    <t>No RHA Troop</t>
  </si>
  <si>
    <t>RHA onboard troop</t>
  </si>
  <si>
    <t>1 25pdr/crew, 1 Quad</t>
  </si>
  <si>
    <t>No RHA onboard battery</t>
  </si>
  <si>
    <t>Add RHA artillery support</t>
  </si>
  <si>
    <t>2 Marmon-Herrington II/III, one upgunned to any listed</t>
  </si>
  <si>
    <t>NZ Desert Infantry Group</t>
  </si>
  <si>
    <t>NZ Groups</t>
  </si>
  <si>
    <t>Exp-9</t>
  </si>
  <si>
    <t>Vet-10</t>
  </si>
  <si>
    <t>Exp-10</t>
  </si>
  <si>
    <t>Maori Group</t>
  </si>
  <si>
    <t>Reg-10</t>
  </si>
  <si>
    <t>NZ</t>
  </si>
  <si>
    <t>Maori</t>
  </si>
  <si>
    <t>No Tank squadron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</si>
</sst>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2"/>
      <name val="Century Gothic"/>
      <family val="2"/>
    </font>
    <font>
      <sz val="10"/>
      <color indexed="23"/>
      <name val="Arial"/>
      <family val="0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i/>
      <sz val="10"/>
      <color indexed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41"/>
        <bgColor indexed="26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20" fillId="4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4</xdr:col>
      <xdr:colOff>1962150</xdr:colOff>
      <xdr:row>1</xdr:row>
      <xdr:rowOff>76200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4</xdr:col>
      <xdr:colOff>1962150</xdr:colOff>
      <xdr:row>1</xdr:row>
      <xdr:rowOff>76200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4</xdr:col>
      <xdr:colOff>1962150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B_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AM Battlegroup"/>
      <sheetName val="USArsenal"/>
      <sheetName val="Amdata"/>
    </sheetNames>
    <sheetDataSet>
      <sheetData sheetId="3">
        <row r="2">
          <cell r="E2" t="str">
            <v>Reg-8</v>
          </cell>
        </row>
        <row r="3">
          <cell r="E3" t="str">
            <v>Exp-8</v>
          </cell>
        </row>
        <row r="4">
          <cell r="E4" t="str">
            <v>Vet-9</v>
          </cell>
        </row>
        <row r="6">
          <cell r="A6" t="str">
            <v>No rifle company</v>
          </cell>
        </row>
        <row r="7">
          <cell r="A7" t="str">
            <v>Basic rifle company</v>
          </cell>
        </row>
        <row r="8">
          <cell r="A8" t="str">
            <v>Rifle Company + bazookas</v>
          </cell>
        </row>
        <row r="9">
          <cell r="A9" t="str">
            <v>Rifle Company + Sherman</v>
          </cell>
        </row>
        <row r="10">
          <cell r="A10" t="str">
            <v>Rifle Company +b +S</v>
          </cell>
        </row>
        <row r="11">
          <cell r="A11" t="str">
            <v>Strong rifle company</v>
          </cell>
        </row>
        <row r="12">
          <cell r="A12" t="str">
            <v>Strong rifle Company + bazookas</v>
          </cell>
        </row>
        <row r="13">
          <cell r="A13" t="str">
            <v>Strong rifle Company + Sherman</v>
          </cell>
        </row>
        <row r="14">
          <cell r="A14" t="str">
            <v>Strong rifle Company +b +S</v>
          </cell>
        </row>
        <row r="16">
          <cell r="A16" t="str">
            <v>No trucks</v>
          </cell>
        </row>
        <row r="17">
          <cell r="A17" t="str">
            <v>QM Truck co</v>
          </cell>
        </row>
        <row r="18">
          <cell r="A18" t="str">
            <v>QM 2 Truck companies</v>
          </cell>
        </row>
        <row r="20">
          <cell r="A20" t="str">
            <v>No Regt HQ</v>
          </cell>
        </row>
        <row r="21">
          <cell r="A21" t="str">
            <v>Vet-9 Regt CO</v>
          </cell>
        </row>
        <row r="22">
          <cell r="A22" t="str">
            <v>Vet-9 Regt HQ Coy</v>
          </cell>
        </row>
        <row r="24">
          <cell r="A24" t="str">
            <v>No 2nd Battalion</v>
          </cell>
        </row>
        <row r="25">
          <cell r="A25" t="str">
            <v>2nd Battalion HQ</v>
          </cell>
        </row>
        <row r="27">
          <cell r="A27" t="str">
            <v>No Weapons Company</v>
          </cell>
        </row>
        <row r="28">
          <cell r="A28" t="str">
            <v>Heavy Weapons company</v>
          </cell>
        </row>
        <row r="30">
          <cell r="A30" t="str">
            <v>No Armoured Infantry Co</v>
          </cell>
        </row>
        <row r="31">
          <cell r="A31" t="str">
            <v>Armoured infantry co</v>
          </cell>
        </row>
        <row r="32">
          <cell r="A32" t="str">
            <v>Arm'd infantry co (reinforced)</v>
          </cell>
        </row>
        <row r="34">
          <cell r="A34" t="str">
            <v>No recon stand</v>
          </cell>
        </row>
        <row r="35">
          <cell r="A35" t="str">
            <v>Independent Recon platoon</v>
          </cell>
        </row>
        <row r="38">
          <cell r="A38" t="str">
            <v>No detached HMG</v>
          </cell>
        </row>
        <row r="39">
          <cell r="A39" t="str">
            <v>Detached MG platoon</v>
          </cell>
        </row>
        <row r="41">
          <cell r="A41" t="str">
            <v>no mortar platoon</v>
          </cell>
        </row>
        <row r="42">
          <cell r="A42" t="str">
            <v>Chem Mortar Platoon</v>
          </cell>
        </row>
        <row r="45">
          <cell r="A45" t="str">
            <v>No towed AT</v>
          </cell>
        </row>
        <row r="46">
          <cell r="A46" t="str">
            <v>Towed Antitank platoon</v>
          </cell>
        </row>
        <row r="49">
          <cell r="A49" t="str">
            <v>No Cannon company</v>
          </cell>
        </row>
        <row r="50">
          <cell r="A50" t="str">
            <v>Reg-8 Cannon co</v>
          </cell>
        </row>
        <row r="54">
          <cell r="A54" t="str">
            <v>No independent Engineers</v>
          </cell>
        </row>
        <row r="55">
          <cell r="A55" t="str">
            <v>Engineer platoon</v>
          </cell>
        </row>
        <row r="56">
          <cell r="A56" t="str">
            <v>Engineer/flame platoon</v>
          </cell>
        </row>
        <row r="58">
          <cell r="A58" t="str">
            <v>No Engineer Co</v>
          </cell>
        </row>
        <row r="59">
          <cell r="A59" t="str">
            <v>Engineer Co</v>
          </cell>
        </row>
        <row r="60">
          <cell r="A60" t="str">
            <v>Engineer/flame Co</v>
          </cell>
        </row>
        <row r="62">
          <cell r="A62" t="str">
            <v>No Engineer Trucks</v>
          </cell>
        </row>
        <row r="63">
          <cell r="A63" t="str">
            <v>Engineer Transport</v>
          </cell>
        </row>
        <row r="65">
          <cell r="A65" t="str">
            <v>No ind. Towed TD</v>
          </cell>
        </row>
        <row r="66">
          <cell r="A66" t="str">
            <v>Reg-8 Towed TD platoon</v>
          </cell>
        </row>
        <row r="69">
          <cell r="A69" t="str">
            <v>No towed TD co</v>
          </cell>
        </row>
        <row r="70">
          <cell r="A70" t="str">
            <v>Towed TD Co</v>
          </cell>
        </row>
        <row r="73">
          <cell r="A73" t="str">
            <v>No independent SP/AT platoon</v>
          </cell>
        </row>
        <row r="74">
          <cell r="A74" t="str">
            <v>M18 SP AT</v>
          </cell>
        </row>
        <row r="75">
          <cell r="A75" t="str">
            <v>M10 SP AT</v>
          </cell>
        </row>
        <row r="76">
          <cell r="A76" t="str">
            <v>M36 SP AT</v>
          </cell>
        </row>
        <row r="78">
          <cell r="A78" t="str">
            <v>No SP TD Co</v>
          </cell>
        </row>
        <row r="79">
          <cell r="A79" t="str">
            <v>M18 TD Co</v>
          </cell>
        </row>
        <row r="80">
          <cell r="A80" t="str">
            <v>M10 TD Co</v>
          </cell>
        </row>
        <row r="81">
          <cell r="A81" t="str">
            <v>M36 TD Co</v>
          </cell>
        </row>
        <row r="83">
          <cell r="A83" t="str">
            <v>No Light Tanks</v>
          </cell>
        </row>
        <row r="84">
          <cell r="A84" t="str">
            <v>Lt Tank platoon</v>
          </cell>
        </row>
        <row r="85">
          <cell r="A85" t="str">
            <v>Lt Tank Company</v>
          </cell>
        </row>
        <row r="87">
          <cell r="A87" t="str">
            <v>No Mdm Tank Co</v>
          </cell>
        </row>
        <row r="88">
          <cell r="A88" t="str">
            <v>Mdm Tank Co</v>
          </cell>
        </row>
        <row r="89">
          <cell r="A89" t="str">
            <v>Mdm/76 Tank Co</v>
          </cell>
        </row>
        <row r="90">
          <cell r="A90" t="str">
            <v>Mdm/E8 Tank Co</v>
          </cell>
        </row>
        <row r="92">
          <cell r="A92" t="str">
            <v>No Upgrade</v>
          </cell>
        </row>
        <row r="93">
          <cell r="A93" t="str">
            <v>Upgrade</v>
          </cell>
        </row>
        <row r="96">
          <cell r="A96" t="str">
            <v>No Independent Tank platoon</v>
          </cell>
        </row>
        <row r="97">
          <cell r="A97" t="str">
            <v>Ind Sherman</v>
          </cell>
        </row>
        <row r="98">
          <cell r="A98" t="str">
            <v>Ind Firefly</v>
          </cell>
        </row>
        <row r="99">
          <cell r="A99" t="str">
            <v>Ind Jumbo/76</v>
          </cell>
        </row>
        <row r="101">
          <cell r="A101" t="str">
            <v>No AA platoon</v>
          </cell>
        </row>
        <row r="102">
          <cell r="A102" t="str">
            <v>AA platoon</v>
          </cell>
        </row>
        <row r="104">
          <cell r="A104" t="str">
            <v>No Cav Recon Platoon</v>
          </cell>
        </row>
        <row r="105">
          <cell r="A105" t="str">
            <v>Cav-Recon a/car</v>
          </cell>
        </row>
        <row r="107">
          <cell r="A107" t="str">
            <v>No Cav Recon Platoon</v>
          </cell>
        </row>
        <row r="108">
          <cell r="A108" t="str">
            <v>Cav-Recon Jeep</v>
          </cell>
        </row>
        <row r="110">
          <cell r="A110" t="str">
            <v>No Cav Recon Troop</v>
          </cell>
        </row>
        <row r="111">
          <cell r="A111" t="str">
            <v>Cav Recon troop</v>
          </cell>
        </row>
        <row r="113">
          <cell r="A113" t="str">
            <v>No Direct Support Artillery</v>
          </cell>
        </row>
        <row r="114">
          <cell r="A114" t="str">
            <v>Direct-Support Artillery</v>
          </cell>
        </row>
        <row r="116">
          <cell r="A116" t="str">
            <v>No Support Artillery</v>
          </cell>
        </row>
        <row r="117">
          <cell r="A117" t="str">
            <v>General-support artillery</v>
          </cell>
        </row>
        <row r="119">
          <cell r="A119" t="str">
            <v>No Artillery Battalion</v>
          </cell>
        </row>
        <row r="120">
          <cell r="A120" t="str">
            <v>Offtable Artillery battalion</v>
          </cell>
        </row>
        <row r="124">
          <cell r="A124" t="str">
            <v>No High Velocity rounds</v>
          </cell>
        </row>
        <row r="125">
          <cell r="A125" t="str">
            <v>1 HV round</v>
          </cell>
        </row>
        <row r="126">
          <cell r="A126" t="str">
            <v>2 HV rounds</v>
          </cell>
        </row>
        <row r="127">
          <cell r="A127" t="str">
            <v>3 HV rounds</v>
          </cell>
        </row>
        <row r="128">
          <cell r="A128" t="str">
            <v>4 HV rounds</v>
          </cell>
        </row>
        <row r="129">
          <cell r="A129" t="str">
            <v>5 HV rounds</v>
          </cell>
        </row>
        <row r="130">
          <cell r="A130" t="str">
            <v>6 HV rounds</v>
          </cell>
        </row>
        <row r="132">
          <cell r="A132" t="str">
            <v>No Hollow charge</v>
          </cell>
        </row>
        <row r="133">
          <cell r="A133" t="str">
            <v>1 Hollow charge round</v>
          </cell>
        </row>
        <row r="134">
          <cell r="A134" t="str">
            <v>2 Hollow charge round</v>
          </cell>
        </row>
        <row r="135">
          <cell r="A135" t="str">
            <v>3 Hollow charge round</v>
          </cell>
        </row>
        <row r="136">
          <cell r="A136" t="str">
            <v>4 Hollow charge round</v>
          </cell>
        </row>
        <row r="137">
          <cell r="A137" t="str">
            <v>5 Hollow charge round</v>
          </cell>
        </row>
        <row r="138">
          <cell r="A138" t="str">
            <v>61 Hollow charge round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32"/>
  <sheetViews>
    <sheetView workbookViewId="0" topLeftCell="A1">
      <selection activeCell="D11" sqref="D11"/>
    </sheetView>
  </sheetViews>
  <sheetFormatPr defaultColWidth="9.140625" defaultRowHeight="12.75"/>
  <cols>
    <col min="2" max="2" width="13.7109375" style="0" customWidth="1"/>
  </cols>
  <sheetData>
    <row r="1" ht="20.25">
      <c r="A1" s="6" t="s">
        <v>8</v>
      </c>
    </row>
    <row r="3" ht="17.25">
      <c r="A3" s="7" t="s">
        <v>9</v>
      </c>
    </row>
    <row r="4" ht="17.25">
      <c r="A4" s="7" t="s">
        <v>19</v>
      </c>
    </row>
    <row r="5" ht="17.25">
      <c r="A5" s="7"/>
    </row>
    <row r="6" ht="17.25">
      <c r="A6" s="7" t="s">
        <v>10</v>
      </c>
    </row>
    <row r="7" ht="17.25">
      <c r="A7" s="7" t="s">
        <v>102</v>
      </c>
    </row>
    <row r="8" ht="17.25">
      <c r="A8" s="7" t="s">
        <v>103</v>
      </c>
    </row>
    <row r="9" ht="17.25">
      <c r="A9" s="7"/>
    </row>
    <row r="10" ht="17.25">
      <c r="A10" s="7" t="s">
        <v>11</v>
      </c>
    </row>
    <row r="11" ht="17.25">
      <c r="A11" s="7" t="s">
        <v>12</v>
      </c>
    </row>
    <row r="12" ht="17.25">
      <c r="A12" s="7" t="s">
        <v>13</v>
      </c>
    </row>
    <row r="13" ht="17.25">
      <c r="A13" s="7"/>
    </row>
    <row r="14" ht="17.25">
      <c r="A14" s="7" t="s">
        <v>14</v>
      </c>
    </row>
    <row r="15" ht="17.25">
      <c r="A15" s="7" t="s">
        <v>15</v>
      </c>
    </row>
    <row r="16" ht="17.25">
      <c r="A16" s="7" t="s">
        <v>16</v>
      </c>
    </row>
    <row r="18" spans="1:2" ht="12.75">
      <c r="A18" t="s">
        <v>17</v>
      </c>
      <c r="B18" s="25"/>
    </row>
    <row r="19" ht="12.75">
      <c r="A19" t="s">
        <v>18</v>
      </c>
    </row>
    <row r="21" spans="1:2" ht="12.75">
      <c r="A21" t="s">
        <v>95</v>
      </c>
      <c r="B21" s="25">
        <v>39070</v>
      </c>
    </row>
    <row r="22" ht="12.75">
      <c r="A22" t="s">
        <v>96</v>
      </c>
    </row>
    <row r="24" spans="1:2" ht="12.75">
      <c r="A24" t="s">
        <v>97</v>
      </c>
      <c r="B24" s="25">
        <v>39078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30" spans="1:2" ht="12.75">
      <c r="A30" t="s">
        <v>104</v>
      </c>
      <c r="B30" s="25">
        <v>39092</v>
      </c>
    </row>
    <row r="31" ht="12.75">
      <c r="A31" t="s">
        <v>105</v>
      </c>
    </row>
    <row r="32" ht="12.75">
      <c r="A32" t="s">
        <v>106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52"/>
  <sheetViews>
    <sheetView showZeros="0" workbookViewId="0" topLeftCell="B1">
      <pane ySplit="3" topLeftCell="BM4" activePane="bottomLeft" state="frozen"/>
      <selection pane="topLeft" activeCell="B1" sqref="B1"/>
      <selection pane="bottomLeft" activeCell="B1" sqref="A1:IV16384"/>
    </sheetView>
  </sheetViews>
  <sheetFormatPr defaultColWidth="9.140625" defaultRowHeight="12.75"/>
  <cols>
    <col min="1" max="1" width="9.8515625" style="8" hidden="1" customWidth="1"/>
    <col min="2" max="2" width="4.421875" style="0" customWidth="1"/>
    <col min="3" max="3" width="6.7109375" style="0" customWidth="1"/>
    <col min="4" max="4" width="38.28125" style="0" customWidth="1"/>
    <col min="5" max="5" width="62.00390625" style="0" customWidth="1"/>
    <col min="6" max="6" width="21.00390625" style="0" hidden="1" customWidth="1"/>
    <col min="7" max="8" width="10.140625" style="0" hidden="1" customWidth="1"/>
    <col min="9" max="9" width="5.7109375" style="0" customWidth="1"/>
    <col min="10" max="10" width="10.7109375" style="0" customWidth="1"/>
    <col min="11" max="11" width="8.28125" style="0" customWidth="1"/>
    <col min="12" max="21" width="11.140625" style="0" hidden="1" customWidth="1"/>
    <col min="22" max="22" width="6.140625" style="0" bestFit="1" customWidth="1"/>
  </cols>
  <sheetData>
    <row r="1" spans="4:23" ht="18">
      <c r="D1" s="1" t="s">
        <v>213</v>
      </c>
      <c r="E1" s="9" t="s">
        <v>56</v>
      </c>
      <c r="G1" s="10"/>
      <c r="H1" s="11">
        <f>IF(F1&gt;G1,"Error!",0)</f>
        <v>0</v>
      </c>
      <c r="I1">
        <f>SUM($S$2:$S$58)</f>
        <v>280</v>
      </c>
      <c r="J1" s="10">
        <v>525</v>
      </c>
      <c r="K1" s="11">
        <f>IF(I1&gt;J1,"Error!",0)</f>
        <v>0</v>
      </c>
      <c r="M1" t="s">
        <v>57</v>
      </c>
      <c r="N1" t="s">
        <v>58</v>
      </c>
      <c r="O1" t="s">
        <v>59</v>
      </c>
      <c r="P1" t="s">
        <v>57</v>
      </c>
      <c r="Q1" t="s">
        <v>58</v>
      </c>
      <c r="R1" t="s">
        <v>59</v>
      </c>
      <c r="S1" t="s">
        <v>57</v>
      </c>
      <c r="T1" t="s">
        <v>58</v>
      </c>
      <c r="U1" t="s">
        <v>59</v>
      </c>
      <c r="V1" s="12" t="s">
        <v>60</v>
      </c>
      <c r="W1" s="5">
        <f>SUM($I14:$I55)+$I5</f>
        <v>280</v>
      </c>
    </row>
    <row r="2" spans="5:11" ht="15.75">
      <c r="E2" s="9" t="s">
        <v>41</v>
      </c>
      <c r="G2" s="10"/>
      <c r="H2" s="11">
        <f>IF((F1+F2)&gt;(G1+G2),"Error!",0)</f>
        <v>0</v>
      </c>
      <c r="I2">
        <f>SUM($T$2:$T$58)</f>
        <v>0</v>
      </c>
      <c r="J2" s="10">
        <v>450</v>
      </c>
      <c r="K2" s="11">
        <f>IF(I1+I2&gt;J1+J2,"Error!",0)</f>
        <v>0</v>
      </c>
    </row>
    <row r="3" spans="5:10" ht="12.75">
      <c r="E3" s="9" t="s">
        <v>42</v>
      </c>
      <c r="G3" s="10"/>
      <c r="I3">
        <f>SUM($U$2:$U$58)</f>
        <v>0</v>
      </c>
      <c r="J3" s="10">
        <v>450</v>
      </c>
    </row>
    <row r="4" ht="12.75">
      <c r="C4" s="13" t="s">
        <v>4</v>
      </c>
    </row>
    <row r="5" spans="1:22" ht="12.75">
      <c r="A5" s="8" t="str">
        <f aca="true" t="shared" si="0" ref="A5:A11">IF(M5=1,"Ord"&amp;P5,IF(N5=1,"Ord"&amp;Q5,IF(O5=1,"Ord"&amp;R5,IF(I5&gt;0,"E",0))))</f>
        <v>Ord</v>
      </c>
      <c r="C5" s="14" t="str">
        <f>E5</f>
        <v>Reg-8</v>
      </c>
      <c r="E5" s="15" t="s">
        <v>1</v>
      </c>
      <c r="F5" s="16" t="str">
        <f>E5</f>
        <v>Reg-8</v>
      </c>
      <c r="I5">
        <f>VLOOKUP($F$5,UKdata!$A2:$C4,3,FALSE)+SUM(I8:I10)</f>
        <v>280</v>
      </c>
      <c r="J5" s="3" t="s">
        <v>40</v>
      </c>
      <c r="M5">
        <f>IF(J5="Holding",1,0)</f>
        <v>1</v>
      </c>
      <c r="N5">
        <f>IF(J5="Reserve",1,0)</f>
        <v>0</v>
      </c>
      <c r="O5">
        <f>IF(J5="Assault",1,0)</f>
        <v>0</v>
      </c>
      <c r="S5">
        <f>IF(M5&gt;0,$I5,0)</f>
        <v>280</v>
      </c>
      <c r="T5">
        <f>IF(N5&gt;0,$I5,0)</f>
        <v>0</v>
      </c>
      <c r="U5">
        <f>IF(O5&gt;0,$I5,0)</f>
        <v>0</v>
      </c>
      <c r="V5" s="17"/>
    </row>
    <row r="6" spans="1:22" ht="12.75">
      <c r="A6" s="8" t="str">
        <f t="shared" si="0"/>
        <v>Ord2</v>
      </c>
      <c r="C6" s="17" t="str">
        <f>E5</f>
        <v>Reg-8</v>
      </c>
      <c r="D6" s="18" t="s">
        <v>5</v>
      </c>
      <c r="E6" s="2" t="s">
        <v>107</v>
      </c>
      <c r="G6">
        <f>IF($F$5="Exp-8",55,0)</f>
        <v>0</v>
      </c>
      <c r="H6">
        <f>IF($F$5="Vet-9",70,0)</f>
        <v>0</v>
      </c>
      <c r="I6">
        <f>SUM(F6:H6)</f>
        <v>0</v>
      </c>
      <c r="J6" s="27">
        <v>0</v>
      </c>
      <c r="M6">
        <f aca="true" t="shared" si="1" ref="M6:M11">IF($J$5=0,IF(J6="Holding",1,0),IF($J$5="Holding",1,0))</f>
        <v>1</v>
      </c>
      <c r="N6">
        <f aca="true" t="shared" si="2" ref="N6:N11">IF($J$5=0,IF(J6="Reserve",1,0),IF($J$5="Reserve",1,0))</f>
        <v>0</v>
      </c>
      <c r="O6">
        <f aca="true" t="shared" si="3" ref="O6:O11">IF($J$5=0,IF(K6="Assault",1,0),IF($J$5="Assault",1,0))</f>
        <v>0</v>
      </c>
      <c r="P6">
        <f>IF($M6&lt;&gt;0,SUM($M$5:$M6),0)</f>
        <v>2</v>
      </c>
      <c r="Q6">
        <f>IF($N6&lt;&gt;0,SUM($N$5:$N6)+15,0)</f>
        <v>0</v>
      </c>
      <c r="R6">
        <f>IF($O6&lt;&gt;0,SUM($O$6:$O6)+30,0)</f>
        <v>0</v>
      </c>
      <c r="S6">
        <f aca="true" t="shared" si="4" ref="S6:S11">IF($S$5=0,IF(M6&gt;0,$I6,0),0)</f>
        <v>0</v>
      </c>
      <c r="T6">
        <f aca="true" t="shared" si="5" ref="T6:T11">IF($T$5=0,IF(N6&gt;0,$I6,0),0)</f>
        <v>0</v>
      </c>
      <c r="U6">
        <f>IF($U$5=0,IF(O6&gt;0,$I6,0),0)</f>
        <v>0</v>
      </c>
      <c r="V6" s="17"/>
    </row>
    <row r="7" spans="1:22" ht="12.75">
      <c r="A7" s="8" t="str">
        <f t="shared" si="0"/>
        <v>Ord3</v>
      </c>
      <c r="D7" s="23" t="s">
        <v>93</v>
      </c>
      <c r="E7" t="s">
        <v>108</v>
      </c>
      <c r="J7" s="27">
        <v>0</v>
      </c>
      <c r="M7">
        <f t="shared" si="1"/>
        <v>1</v>
      </c>
      <c r="N7">
        <f t="shared" si="2"/>
        <v>0</v>
      </c>
      <c r="O7">
        <f t="shared" si="3"/>
        <v>0</v>
      </c>
      <c r="P7">
        <f>IF($M7&lt;&gt;0,SUM($M$5:$M7),0)</f>
        <v>3</v>
      </c>
      <c r="Q7">
        <f>IF($N7&lt;&gt;0,SUM($N$5:$N7)+15,0)</f>
        <v>0</v>
      </c>
      <c r="R7">
        <f>IF($O7&lt;&gt;0,SUM($O$6:$O7)+30,0)</f>
        <v>0</v>
      </c>
      <c r="S7">
        <f t="shared" si="4"/>
        <v>0</v>
      </c>
      <c r="T7">
        <f t="shared" si="5"/>
        <v>0</v>
      </c>
      <c r="U7">
        <f aca="true" t="shared" si="6" ref="U7:U12">IF($U$5=0,IF(O7&gt;0,$I7,0),0)</f>
        <v>0</v>
      </c>
      <c r="V7" s="17">
        <v>1</v>
      </c>
    </row>
    <row r="8" spans="1:22" ht="12.75">
      <c r="A8" s="8" t="str">
        <f t="shared" si="0"/>
        <v>Ord4</v>
      </c>
      <c r="D8" s="19" t="s">
        <v>90</v>
      </c>
      <c r="E8" t="str">
        <f>VLOOKUP($D8,UKdata!$A$2:$E$49,2,FALSE)</f>
        <v>Cmd/Inf/Piat stand, 2 Rifle stands</v>
      </c>
      <c r="F8">
        <f>IF($D8="Reinforced Infantry/AT co",5,0)</f>
        <v>0</v>
      </c>
      <c r="I8">
        <f>SUM(F8:H8)</f>
        <v>0</v>
      </c>
      <c r="J8" s="27">
        <v>0</v>
      </c>
      <c r="M8">
        <f t="shared" si="1"/>
        <v>1</v>
      </c>
      <c r="N8">
        <f t="shared" si="2"/>
        <v>0</v>
      </c>
      <c r="O8">
        <f t="shared" si="3"/>
        <v>0</v>
      </c>
      <c r="P8">
        <f>IF($M8&lt;&gt;0,SUM($M$5:$M8),0)</f>
        <v>4</v>
      </c>
      <c r="Q8">
        <f>IF($N8&lt;&gt;0,SUM($N$5:$N8)+15,0)</f>
        <v>0</v>
      </c>
      <c r="R8">
        <f>IF($O8&lt;&gt;0,SUM($O$6:$O8)+30,0)</f>
        <v>0</v>
      </c>
      <c r="S8">
        <f t="shared" si="4"/>
        <v>0</v>
      </c>
      <c r="T8">
        <f t="shared" si="5"/>
        <v>0</v>
      </c>
      <c r="U8">
        <f t="shared" si="6"/>
        <v>0</v>
      </c>
      <c r="V8" s="17"/>
    </row>
    <row r="9" spans="1:22" ht="12.75">
      <c r="A9" s="8" t="str">
        <f t="shared" si="0"/>
        <v>Ord5</v>
      </c>
      <c r="D9" s="19" t="s">
        <v>90</v>
      </c>
      <c r="E9" t="str">
        <f>VLOOKUP($D9,UKdata!$A$2:$E$49,2,FALSE)</f>
        <v>Cmd/Inf/Piat stand, 2 Rifle stands</v>
      </c>
      <c r="F9">
        <f>IF($D9="Reinforced Infantry/AT co",5,0)</f>
        <v>0</v>
      </c>
      <c r="G9">
        <f>IF($F$5="Exp-8",VLOOKUP($D9,UKdata!$A$2:$E$49,4,FALSE),0)</f>
        <v>0</v>
      </c>
      <c r="H9">
        <f>IF($F$5="Vet-9",VLOOKUP($D9,UKdata!$A$2:$E$49,5,FALSE),0)</f>
        <v>0</v>
      </c>
      <c r="I9">
        <f>SUM(F9:H9)</f>
        <v>0</v>
      </c>
      <c r="J9" s="27">
        <v>0</v>
      </c>
      <c r="M9">
        <f t="shared" si="1"/>
        <v>1</v>
      </c>
      <c r="N9">
        <f t="shared" si="2"/>
        <v>0</v>
      </c>
      <c r="O9">
        <f t="shared" si="3"/>
        <v>0</v>
      </c>
      <c r="P9">
        <f>IF($M9&lt;&gt;0,SUM($M$5:$M9),0)</f>
        <v>5</v>
      </c>
      <c r="Q9">
        <f>IF($N9&lt;&gt;0,SUM($N$5:$N9)+15,0)</f>
        <v>0</v>
      </c>
      <c r="R9">
        <f>IF($O9&lt;&gt;0,SUM($O$6:$O9)+30,0)</f>
        <v>0</v>
      </c>
      <c r="S9">
        <f t="shared" si="4"/>
        <v>0</v>
      </c>
      <c r="T9">
        <f t="shared" si="5"/>
        <v>0</v>
      </c>
      <c r="U9">
        <f t="shared" si="6"/>
        <v>0</v>
      </c>
      <c r="V9" s="17"/>
    </row>
    <row r="10" spans="1:22" ht="12.75">
      <c r="A10" s="8" t="str">
        <f t="shared" si="0"/>
        <v>Ord6</v>
      </c>
      <c r="D10" s="19" t="s">
        <v>90</v>
      </c>
      <c r="E10" t="str">
        <f>VLOOKUP($D10,UKdata!$A$2:$E$49,2,FALSE)</f>
        <v>Cmd/Inf/Piat stand, 2 Rifle stands</v>
      </c>
      <c r="F10">
        <f>IF($D10="Reinforced Infantry/AT co",5,0)</f>
        <v>0</v>
      </c>
      <c r="G10">
        <f>IF($F$5="Exp-8",VLOOKUP($D10,UKdata!$A$2:$E$49,4,FALSE),0)</f>
        <v>0</v>
      </c>
      <c r="H10">
        <f>IF($F$5="Vet-9",VLOOKUP($D10,UKdata!$A$2:$E$49,5,FALSE),0)</f>
        <v>0</v>
      </c>
      <c r="I10">
        <f>SUM(F10:H10)</f>
        <v>0</v>
      </c>
      <c r="J10" s="27">
        <v>0</v>
      </c>
      <c r="M10">
        <f t="shared" si="1"/>
        <v>1</v>
      </c>
      <c r="N10">
        <f t="shared" si="2"/>
        <v>0</v>
      </c>
      <c r="O10">
        <f t="shared" si="3"/>
        <v>0</v>
      </c>
      <c r="P10">
        <f>IF($M10&lt;&gt;0,SUM($M$5:$M10),0)</f>
        <v>6</v>
      </c>
      <c r="Q10">
        <f>IF($N10&lt;&gt;0,SUM($N$5:$N10)+15,0)</f>
        <v>0</v>
      </c>
      <c r="R10">
        <f>IF($O10&lt;&gt;0,SUM($O$6:$O10)+30,0)</f>
        <v>0</v>
      </c>
      <c r="S10">
        <f t="shared" si="4"/>
        <v>0</v>
      </c>
      <c r="T10">
        <f t="shared" si="5"/>
        <v>0</v>
      </c>
      <c r="U10">
        <f t="shared" si="6"/>
        <v>0</v>
      </c>
      <c r="V10" s="17"/>
    </row>
    <row r="11" spans="1:22" ht="12.75">
      <c r="A11" s="8" t="str">
        <f t="shared" si="0"/>
        <v>Ord7</v>
      </c>
      <c r="D11" s="23" t="s">
        <v>109</v>
      </c>
      <c r="E11" t="s">
        <v>110</v>
      </c>
      <c r="G11">
        <f>IF($F$5="Exp-8",VLOOKUP($D11,UKdata!$A$2:$E$49,4,FALSE),0)</f>
        <v>0</v>
      </c>
      <c r="H11">
        <f>IF($F$5="Vet-9",VLOOKUP($D11,UKdata!$A$2:$E$49,5,FALSE),0)</f>
        <v>0</v>
      </c>
      <c r="J11" s="27">
        <v>0</v>
      </c>
      <c r="M11">
        <f t="shared" si="1"/>
        <v>1</v>
      </c>
      <c r="N11">
        <f t="shared" si="2"/>
        <v>0</v>
      </c>
      <c r="O11">
        <f t="shared" si="3"/>
        <v>0</v>
      </c>
      <c r="P11">
        <f>IF($M11&lt;&gt;0,SUM($M$5:$M11),0)</f>
        <v>7</v>
      </c>
      <c r="Q11">
        <f>IF($N11&lt;&gt;0,SUM($N$5:$N11)+15,0)</f>
        <v>0</v>
      </c>
      <c r="R11">
        <f>IF($O11&lt;&gt;0,SUM($O$6:$O11)+30,0)</f>
        <v>0</v>
      </c>
      <c r="S11">
        <f t="shared" si="4"/>
        <v>0</v>
      </c>
      <c r="T11">
        <f t="shared" si="5"/>
        <v>0</v>
      </c>
      <c r="U11">
        <f t="shared" si="6"/>
        <v>0</v>
      </c>
      <c r="V11" s="17"/>
    </row>
    <row r="12" spans="10:22" ht="12.75">
      <c r="J12">
        <v>0</v>
      </c>
      <c r="P12">
        <f>IF($M12&lt;&gt;0,SUM($M$5:$M12),0)</f>
        <v>0</v>
      </c>
      <c r="Q12">
        <f>IF($N12&lt;&gt;0,SUM($N$5:$N12)+15,0)</f>
        <v>0</v>
      </c>
      <c r="R12">
        <f>IF($O12&lt;&gt;0,SUM($O$5:$O12)+30,0)</f>
        <v>0</v>
      </c>
      <c r="S12">
        <f aca="true" t="shared" si="7" ref="S12:U24">IF(M12&gt;0,$I12,0)</f>
        <v>0</v>
      </c>
      <c r="T12">
        <f t="shared" si="7"/>
        <v>0</v>
      </c>
      <c r="U12">
        <f t="shared" si="6"/>
        <v>0</v>
      </c>
      <c r="V12" s="17"/>
    </row>
    <row r="13" spans="4:22" ht="12.75">
      <c r="D13" s="20" t="s">
        <v>61</v>
      </c>
      <c r="J13">
        <v>0</v>
      </c>
      <c r="P13">
        <f>IF($M13&lt;&gt;0,SUM($M$5:$M13),0)</f>
        <v>0</v>
      </c>
      <c r="Q13">
        <f>IF($N13&lt;&gt;0,SUM($N$5:$N13)+15,0)</f>
        <v>0</v>
      </c>
      <c r="R13">
        <f>IF($O13&lt;&gt;0,SUM($O$5:$O13)+30,0)</f>
        <v>0</v>
      </c>
      <c r="S13">
        <f t="shared" si="7"/>
        <v>0</v>
      </c>
      <c r="T13">
        <f t="shared" si="7"/>
        <v>0</v>
      </c>
      <c r="U13">
        <f>IF(O13&gt;0,$I13,0)</f>
        <v>0</v>
      </c>
      <c r="V13" s="17"/>
    </row>
    <row r="14" spans="1:22" ht="12.75">
      <c r="A14" s="8">
        <f>IF(M14=1,"Ord"&amp;P14,IF(N14=1,"Ord"&amp;Q14,IF(O14=1,"Ord"&amp;R14,IF(I14&gt;0,"E",0))))</f>
        <v>0</v>
      </c>
      <c r="C14" s="22" t="s">
        <v>3</v>
      </c>
      <c r="D14" s="3" t="s">
        <v>6</v>
      </c>
      <c r="E14">
        <f>VLOOKUP($D14,UKdata!$A$2:$E$49,2,FALSE)</f>
        <v>0</v>
      </c>
      <c r="F14">
        <f>IF($C14="Reg-8",VLOOKUP($D14,UKdata!$A$2:$E$49,3,FALSE),0)</f>
        <v>0</v>
      </c>
      <c r="G14">
        <f>IF($C14="Exp-8",VLOOKUP($D14,UKdata!$A$2:$E$49,4,FALSE),0)</f>
        <v>0</v>
      </c>
      <c r="H14">
        <f>IF($C14="Vet-9",VLOOKUP($D14,UKdata!$A$2:$E$49,5,FALSE),0)</f>
        <v>0</v>
      </c>
      <c r="I14">
        <f>VLOOKUP($D14,UKdata!$A$2:$E$49,3,FALSE)</f>
        <v>0</v>
      </c>
      <c r="J14" s="3">
        <v>0</v>
      </c>
      <c r="M14">
        <f>IF(J14="Holding",1,0)</f>
        <v>0</v>
      </c>
      <c r="N14">
        <f>IF(J14="Reserve",1,0)</f>
        <v>0</v>
      </c>
      <c r="O14">
        <f>IF(J14="Assault",1,0)</f>
        <v>0</v>
      </c>
      <c r="P14">
        <f>IF($M14&lt;&gt;0,SUM($M$5:$M14),0)</f>
        <v>0</v>
      </c>
      <c r="Q14">
        <f>IF($N14&lt;&gt;0,SUM($N$5:$N14)+15,0)</f>
        <v>0</v>
      </c>
      <c r="R14">
        <f>IF($O14&lt;&gt;0,SUM($O$6:$O14)+30,0)</f>
        <v>0</v>
      </c>
      <c r="S14">
        <f t="shared" si="7"/>
        <v>0</v>
      </c>
      <c r="T14">
        <f t="shared" si="7"/>
        <v>0</v>
      </c>
      <c r="U14">
        <f>IF(O14&gt;0,$I14,0)</f>
        <v>0</v>
      </c>
      <c r="V14" s="17">
        <f>VLOOKUP($D14,UKdata!$A$2:$F$49,6,FALSE)</f>
        <v>0</v>
      </c>
    </row>
    <row r="15" spans="1:22" ht="12.75">
      <c r="A15" s="8">
        <f aca="true" t="shared" si="8" ref="A15:A54">IF(M15=1,"Ord"&amp;P15,IF(N15=1,"Ord"&amp;Q15,IF(O15=1,"Ord"&amp;R15,IF(I15&gt;0,"E",0))))</f>
        <v>0</v>
      </c>
      <c r="C15" s="22">
        <v>0</v>
      </c>
      <c r="D15" s="3" t="s">
        <v>6</v>
      </c>
      <c r="E15">
        <f>VLOOKUP($D15,UKdata!$A$2:$E$49,2,FALSE)</f>
        <v>0</v>
      </c>
      <c r="F15">
        <f>IF($C15="Reg-8",VLOOKUP($D15,UKdata!$A$2:$E$49,3,FALSE),0)</f>
        <v>0</v>
      </c>
      <c r="G15">
        <f>IF($C15="Exp-8",VLOOKUP($D15,UKdata!$A$2:$E$49,4,FALSE),0)</f>
        <v>0</v>
      </c>
      <c r="H15">
        <f>IF($C15="Vet-9",VLOOKUP($D15,UKdata!$A$2:$E$49,5,FALSE),0)</f>
        <v>0</v>
      </c>
      <c r="I15">
        <f>VLOOKUP($D15,UKdata!$A$2:$E$49,3,FALSE)</f>
        <v>0</v>
      </c>
      <c r="J15" s="3">
        <v>0</v>
      </c>
      <c r="K15">
        <f>VLOOKUP($D15,UKdata!$A$2:$F$202,6,FALSE)</f>
        <v>0</v>
      </c>
      <c r="M15">
        <f aca="true" t="shared" si="9" ref="M15:M58">IF(J15="Holding",1,0)</f>
        <v>0</v>
      </c>
      <c r="N15">
        <f aca="true" t="shared" si="10" ref="N15:N58">IF(J15="Reserve",1,0)</f>
        <v>0</v>
      </c>
      <c r="O15">
        <f aca="true" t="shared" si="11" ref="O15:O58">IF(J15="Assault",1,0)</f>
        <v>0</v>
      </c>
      <c r="P15">
        <f>IF($M15&lt;&gt;0,SUM($M$5:$M15),0)</f>
        <v>0</v>
      </c>
      <c r="Q15">
        <f>IF($N15&lt;&gt;0,SUM($N$5:$N15)+15,0)</f>
        <v>0</v>
      </c>
      <c r="R15">
        <f>IF($O15&lt;&gt;0,SUM($O$6:$O15)+30,0)</f>
        <v>0</v>
      </c>
      <c r="S15">
        <f t="shared" si="7"/>
        <v>0</v>
      </c>
      <c r="T15">
        <f t="shared" si="7"/>
        <v>0</v>
      </c>
      <c r="U15">
        <f t="shared" si="7"/>
        <v>0</v>
      </c>
      <c r="V15" s="17">
        <f>VLOOKUP($D15,UKdata!$A$2:$F$49,6,FALSE)</f>
        <v>0</v>
      </c>
    </row>
    <row r="16" spans="3:22" ht="12.75">
      <c r="C16">
        <v>0</v>
      </c>
      <c r="D16" t="s">
        <v>309</v>
      </c>
      <c r="J16">
        <v>0</v>
      </c>
      <c r="V16" s="17"/>
    </row>
    <row r="17" spans="1:22" ht="12.75">
      <c r="A17" s="8">
        <f t="shared" si="8"/>
        <v>0</v>
      </c>
      <c r="C17">
        <v>0</v>
      </c>
      <c r="D17" s="20" t="s">
        <v>62</v>
      </c>
      <c r="J17">
        <v>0</v>
      </c>
      <c r="M17">
        <f t="shared" si="9"/>
        <v>0</v>
      </c>
      <c r="N17">
        <f t="shared" si="10"/>
        <v>0</v>
      </c>
      <c r="O17">
        <f t="shared" si="11"/>
        <v>0</v>
      </c>
      <c r="P17">
        <f>IF($M17&lt;&gt;0,SUM($M$5:$M17),0)</f>
        <v>0</v>
      </c>
      <c r="Q17">
        <f>IF($N17&lt;&gt;0,SUM($N$5:$N17)+15,0)</f>
        <v>0</v>
      </c>
      <c r="R17">
        <f>IF($O17&lt;&gt;0,SUM($O$6:$O17)+30,0)</f>
        <v>0</v>
      </c>
      <c r="S17">
        <f t="shared" si="7"/>
        <v>0</v>
      </c>
      <c r="T17">
        <f t="shared" si="7"/>
        <v>0</v>
      </c>
      <c r="U17">
        <f t="shared" si="7"/>
        <v>0</v>
      </c>
      <c r="V17" s="17"/>
    </row>
    <row r="18" spans="1:22" ht="12.75">
      <c r="A18" s="8">
        <f t="shared" si="8"/>
        <v>0</v>
      </c>
      <c r="C18" s="22">
        <v>0</v>
      </c>
      <c r="D18" s="3" t="s">
        <v>84</v>
      </c>
      <c r="E18">
        <f>VLOOKUP($D18,UKdata!$A$2:$E$49,2,FALSE)</f>
        <v>0</v>
      </c>
      <c r="F18">
        <f>IF($C18="Reg-8",VLOOKUP($D18,UKdata!$A$2:$E$49,3,FALSE),0)</f>
        <v>0</v>
      </c>
      <c r="G18">
        <f>IF($C18="Exp-8",VLOOKUP($D18,UKdata!$A$2:$E$49,4,FALSE),0)</f>
        <v>0</v>
      </c>
      <c r="H18">
        <f>IF($C18="Vet-9",VLOOKUP($D18,UKdata!$A$2:$E$49,5,FALSE),0)</f>
        <v>0</v>
      </c>
      <c r="I18">
        <f aca="true" t="shared" si="12" ref="I18:I24">SUM(F18:H18)</f>
        <v>0</v>
      </c>
      <c r="J18" s="3">
        <v>0</v>
      </c>
      <c r="K18" s="4">
        <f>IF($D18&lt;&gt;"No infantry company",IF($C18&lt;&gt;$F$5,IF(C$18&lt;&gt;$C$15,"Error - must match HQ morale",0),0),0)</f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>IF($M18&lt;&gt;0,SUM($M$5:$M18),0)</f>
        <v>0</v>
      </c>
      <c r="Q18">
        <f>IF($N18&lt;&gt;0,SUM($N$5:$N18)+15,0)</f>
        <v>0</v>
      </c>
      <c r="R18">
        <f>IF($O18&lt;&gt;0,SUM($O$6:$O18)+30,0)</f>
        <v>0</v>
      </c>
      <c r="S18">
        <f t="shared" si="7"/>
        <v>0</v>
      </c>
      <c r="T18">
        <f t="shared" si="7"/>
        <v>0</v>
      </c>
      <c r="U18">
        <f t="shared" si="7"/>
        <v>0</v>
      </c>
      <c r="V18" s="17"/>
    </row>
    <row r="19" spans="1:22" ht="12.75">
      <c r="A19" s="8">
        <f t="shared" si="8"/>
        <v>0</v>
      </c>
      <c r="C19" s="22">
        <v>0</v>
      </c>
      <c r="D19" s="3" t="s">
        <v>84</v>
      </c>
      <c r="E19">
        <f>VLOOKUP($D19,UKdata!$A$2:$E$49,2,FALSE)</f>
        <v>0</v>
      </c>
      <c r="F19">
        <f>IF($C19="Reg-8",VLOOKUP($D19,UKdata!$A$2:$E$49,3,FALSE),0)</f>
        <v>0</v>
      </c>
      <c r="G19">
        <f>IF($C19="Exp-8",VLOOKUP($D19,UKdata!$A$2:$E$49,4,FALSE),0)</f>
        <v>0</v>
      </c>
      <c r="H19">
        <f>IF($C19="Vet-9",VLOOKUP($D19,UKdata!$A$2:$E$49,5,FALSE),0)</f>
        <v>0</v>
      </c>
      <c r="I19">
        <f t="shared" si="12"/>
        <v>0</v>
      </c>
      <c r="J19" s="3">
        <v>0</v>
      </c>
      <c r="K19" s="4">
        <f>IF($D19&lt;&gt;"No infantry company",IF($C19&lt;&gt;$F$5,IF(C$19&lt;&gt;$C$15,"Error - must match HQ morale",0),0),0)</f>
        <v>0</v>
      </c>
      <c r="M19">
        <f t="shared" si="9"/>
        <v>0</v>
      </c>
      <c r="N19">
        <f t="shared" si="10"/>
        <v>0</v>
      </c>
      <c r="O19">
        <f t="shared" si="11"/>
        <v>0</v>
      </c>
      <c r="P19">
        <f>IF($M19&lt;&gt;0,SUM($M$5:$M19),0)</f>
        <v>0</v>
      </c>
      <c r="Q19">
        <f>IF($N19&lt;&gt;0,SUM($N$5:$N19)+15,0)</f>
        <v>0</v>
      </c>
      <c r="R19">
        <f>IF($O19&lt;&gt;0,SUM($O$6:$O19)+30,0)</f>
        <v>0</v>
      </c>
      <c r="S19">
        <f t="shared" si="7"/>
        <v>0</v>
      </c>
      <c r="T19">
        <f t="shared" si="7"/>
        <v>0</v>
      </c>
      <c r="U19">
        <f t="shared" si="7"/>
        <v>0</v>
      </c>
      <c r="V19" s="17"/>
    </row>
    <row r="20" spans="1:22" ht="12.75">
      <c r="A20" s="8">
        <f t="shared" si="8"/>
        <v>0</v>
      </c>
      <c r="C20" s="22">
        <v>0</v>
      </c>
      <c r="D20" s="3" t="s">
        <v>84</v>
      </c>
      <c r="E20">
        <f>VLOOKUP($D20,UKdata!$A$2:$E$49,2,FALSE)</f>
        <v>0</v>
      </c>
      <c r="F20">
        <f>IF($C20="Reg-8",VLOOKUP($D20,UKdata!$A$2:$E$49,3,FALSE),0)</f>
        <v>0</v>
      </c>
      <c r="G20">
        <f>IF($C20="Exp-8",VLOOKUP($D20,UKdata!$A$2:$E$49,4,FALSE),0)</f>
        <v>0</v>
      </c>
      <c r="H20">
        <f>IF($C20="Vet-9",VLOOKUP($D20,UKdata!$A$2:$E$49,5,FALSE),0)</f>
        <v>0</v>
      </c>
      <c r="I20">
        <f t="shared" si="12"/>
        <v>0</v>
      </c>
      <c r="J20" s="3">
        <v>0</v>
      </c>
      <c r="K20" s="4">
        <f>IF($D20&lt;&gt;"No infantry company",IF($C20&lt;&gt;$F$5,IF(C$20&lt;&gt;$C$15,"Error - must match HQ morale",0),0),0)</f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>IF($M20&lt;&gt;0,SUM($M$5:$M20),0)</f>
        <v>0</v>
      </c>
      <c r="Q20">
        <f>IF($N20&lt;&gt;0,SUM($N$5:$N20)+15,0)</f>
        <v>0</v>
      </c>
      <c r="R20">
        <f>IF($O20&lt;&gt;0,SUM($O$6:$O20)+30,0)</f>
        <v>0</v>
      </c>
      <c r="S20">
        <f t="shared" si="7"/>
        <v>0</v>
      </c>
      <c r="T20">
        <f t="shared" si="7"/>
        <v>0</v>
      </c>
      <c r="U20">
        <f t="shared" si="7"/>
        <v>0</v>
      </c>
      <c r="V20" s="17"/>
    </row>
    <row r="21" spans="1:22" ht="12.75">
      <c r="A21" s="8">
        <f t="shared" si="8"/>
        <v>0</v>
      </c>
      <c r="C21" s="22">
        <v>0</v>
      </c>
      <c r="D21" s="3" t="s">
        <v>84</v>
      </c>
      <c r="E21">
        <f>VLOOKUP($D21,UKdata!$A$2:$E$49,2,FALSE)</f>
        <v>0</v>
      </c>
      <c r="F21">
        <f>IF($C21="Reg-8",VLOOKUP($D21,UKdata!$A$2:$E$49,3,FALSE),0)</f>
        <v>0</v>
      </c>
      <c r="G21">
        <f>IF($C21="Exp-8",VLOOKUP($D21,UKdata!$A$2:$E$49,4,FALSE),0)</f>
        <v>0</v>
      </c>
      <c r="H21">
        <f>IF($C21="Vet-9",VLOOKUP($D21,UKdata!$A$2:$E$49,5,FALSE),0)</f>
        <v>0</v>
      </c>
      <c r="I21">
        <f t="shared" si="12"/>
        <v>0</v>
      </c>
      <c r="J21" s="3">
        <v>0</v>
      </c>
      <c r="K21" s="4">
        <f>IF($D21&lt;&gt;"No infantry company",IF($C21&lt;&gt;$F$5,IF(C$21&lt;&gt;$C$15,"Error - must match HQ morale",0),0),0)</f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>IF($M21&lt;&gt;0,SUM($M$5:$M21),0)</f>
        <v>0</v>
      </c>
      <c r="Q21">
        <f>IF($N21&lt;&gt;0,SUM($N$5:$N21)+15,0)</f>
        <v>0</v>
      </c>
      <c r="R21">
        <f>IF($O21&lt;&gt;0,SUM($O$6:$O21)+30,0)</f>
        <v>0</v>
      </c>
      <c r="S21">
        <f t="shared" si="7"/>
        <v>0</v>
      </c>
      <c r="T21">
        <f t="shared" si="7"/>
        <v>0</v>
      </c>
      <c r="U21">
        <f t="shared" si="7"/>
        <v>0</v>
      </c>
      <c r="V21" s="17"/>
    </row>
    <row r="22" spans="1:22" ht="12.75">
      <c r="A22" s="8">
        <f t="shared" si="8"/>
        <v>0</v>
      </c>
      <c r="C22" s="22">
        <v>0</v>
      </c>
      <c r="D22" s="3" t="s">
        <v>118</v>
      </c>
      <c r="E22">
        <f>VLOOKUP($D22,UKdata!$A$2:$E$49,2,FALSE)</f>
        <v>0</v>
      </c>
      <c r="F22">
        <f>VLOOKUP($D22,UKdata!$A$2:$E$49,3,FALSE)</f>
        <v>0</v>
      </c>
      <c r="G22">
        <f>IF($C22="Exp-8",VLOOKUP($D22,UKdata!$A$2:$E$49,4,FALSE),0)</f>
        <v>0</v>
      </c>
      <c r="H22">
        <f>IF($C22="Vet-9",VLOOKUP($D22,UKdata!$A$2:$E$49,5,FALSE),0)</f>
        <v>0</v>
      </c>
      <c r="I22">
        <f t="shared" si="12"/>
        <v>0</v>
      </c>
      <c r="J22" s="3"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>IF($M22&lt;&gt;0,SUM($M$5:$M22),0)</f>
        <v>0</v>
      </c>
      <c r="Q22">
        <f>IF($N22&lt;&gt;0,SUM($N$5:$N22)+15,0)</f>
        <v>0</v>
      </c>
      <c r="R22">
        <f>IF($O22&lt;&gt;0,SUM($O$6:$O22)+30,0)</f>
        <v>0</v>
      </c>
      <c r="S22">
        <f t="shared" si="7"/>
        <v>0</v>
      </c>
      <c r="T22">
        <f t="shared" si="7"/>
        <v>0</v>
      </c>
      <c r="U22">
        <f t="shared" si="7"/>
        <v>0</v>
      </c>
      <c r="V22" s="17"/>
    </row>
    <row r="23" spans="1:22" ht="12.75">
      <c r="A23" s="8">
        <f t="shared" si="8"/>
        <v>0</v>
      </c>
      <c r="C23" s="22">
        <v>0</v>
      </c>
      <c r="D23" s="3" t="s">
        <v>133</v>
      </c>
      <c r="E23">
        <f>VLOOKUP($D23,UKdata!$A$2:$E$49,2,FALSE)</f>
        <v>0</v>
      </c>
      <c r="F23">
        <f>IF($C23="Reg-8",VLOOKUP($D23,UKdata!$A$2:$E$49,3,FALSE),0)</f>
        <v>0</v>
      </c>
      <c r="G23">
        <f>IF($C23="Exp-8",VLOOKUP($D23,UKdata!$A$2:$E$49,4,FALSE),0)</f>
        <v>0</v>
      </c>
      <c r="H23">
        <f>IF($C23="Vet-9",VLOOKUP($D23,UKdata!$A$2:$E$49,5,FALSE),0)</f>
        <v>0</v>
      </c>
      <c r="I23">
        <f t="shared" si="12"/>
        <v>0</v>
      </c>
      <c r="J23" s="3">
        <v>0</v>
      </c>
      <c r="K23" s="4">
        <f>IF($D23&lt;&gt;"No Carriers",IF($C23&lt;&gt;$F$5,"Error - must match HQ morale",0),0)</f>
        <v>0</v>
      </c>
      <c r="M23">
        <f t="shared" si="9"/>
        <v>0</v>
      </c>
      <c r="N23">
        <f t="shared" si="10"/>
        <v>0</v>
      </c>
      <c r="O23">
        <f t="shared" si="11"/>
        <v>0</v>
      </c>
      <c r="P23">
        <f>IF($M23&lt;&gt;0,SUM($M$5:$M23),0)</f>
        <v>0</v>
      </c>
      <c r="Q23">
        <f>IF($N23&lt;&gt;0,SUM($N$5:$N23)+15,0)</f>
        <v>0</v>
      </c>
      <c r="R23">
        <f>IF($O23&lt;&gt;0,SUM($O$6:$O23)+30,0)</f>
        <v>0</v>
      </c>
      <c r="S23">
        <f t="shared" si="7"/>
        <v>0</v>
      </c>
      <c r="T23">
        <f t="shared" si="7"/>
        <v>0</v>
      </c>
      <c r="U23">
        <f t="shared" si="7"/>
        <v>0</v>
      </c>
      <c r="V23" s="17"/>
    </row>
    <row r="24" spans="1:22" ht="12.75">
      <c r="A24" s="8">
        <f t="shared" si="8"/>
        <v>0</v>
      </c>
      <c r="C24" s="22">
        <v>0</v>
      </c>
      <c r="D24" s="3" t="s">
        <v>133</v>
      </c>
      <c r="E24">
        <f>VLOOKUP($D24,UKdata!$A$2:$E$49,2,FALSE)</f>
        <v>0</v>
      </c>
      <c r="F24">
        <f>IF($C24="Reg-8",VLOOKUP($D24,UKdata!$A$2:$E$49,3,FALSE),0)</f>
        <v>0</v>
      </c>
      <c r="G24">
        <f>IF($C24="Exp-8",VLOOKUP($D24,UKdata!$A$2:$E$49,4,FALSE),0)</f>
        <v>0</v>
      </c>
      <c r="H24">
        <f>IF($C24="Vet-9",VLOOKUP($D24,UKdata!$A$2:$E$49,5,FALSE),0)</f>
        <v>0</v>
      </c>
      <c r="I24">
        <f t="shared" si="12"/>
        <v>0</v>
      </c>
      <c r="J24" s="3">
        <v>0</v>
      </c>
      <c r="K24" s="4">
        <f>IF($D24&lt;&gt;"No Carriers",IF(C$24&lt;&gt;$C$15,"Error - must match HQ morale",0),0)</f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>IF($M24&lt;&gt;0,SUM($M$5:$M24),0)</f>
        <v>0</v>
      </c>
      <c r="Q24">
        <f>IF($N24&lt;&gt;0,SUM($N$5:$N24)+15,0)</f>
        <v>0</v>
      </c>
      <c r="R24">
        <f>IF($O24&lt;&gt;0,SUM($O$6:$O24)+30,0)</f>
        <v>0</v>
      </c>
      <c r="S24">
        <f t="shared" si="7"/>
        <v>0</v>
      </c>
      <c r="T24">
        <f t="shared" si="7"/>
        <v>0</v>
      </c>
      <c r="U24">
        <f t="shared" si="7"/>
        <v>0</v>
      </c>
      <c r="V24" s="17"/>
    </row>
    <row r="25" spans="1:22" ht="12.75">
      <c r="A25" s="8">
        <f t="shared" si="8"/>
        <v>0</v>
      </c>
      <c r="C25">
        <v>0</v>
      </c>
      <c r="J25">
        <v>0</v>
      </c>
      <c r="M25">
        <f t="shared" si="9"/>
        <v>0</v>
      </c>
      <c r="N25">
        <f t="shared" si="10"/>
        <v>0</v>
      </c>
      <c r="O25">
        <f t="shared" si="11"/>
        <v>0</v>
      </c>
      <c r="P25">
        <f>IF($M25&lt;&gt;0,SUM($M$5:$M25),0)</f>
        <v>0</v>
      </c>
      <c r="Q25">
        <f>IF($N25&lt;&gt;0,SUM($N$5:$N25)+15,0)</f>
        <v>0</v>
      </c>
      <c r="R25">
        <f>IF($O25&lt;&gt;0,SUM($O$6:$O25)+30,0)</f>
        <v>0</v>
      </c>
      <c r="S25">
        <f aca="true" t="shared" si="13" ref="S25:U58">IF(M25&gt;0,$I25,0)</f>
        <v>0</v>
      </c>
      <c r="T25">
        <f t="shared" si="13"/>
        <v>0</v>
      </c>
      <c r="U25">
        <f t="shared" si="13"/>
        <v>0</v>
      </c>
      <c r="V25" s="17"/>
    </row>
    <row r="26" spans="1:22" ht="12.75">
      <c r="A26" s="8">
        <f t="shared" si="8"/>
        <v>0</v>
      </c>
      <c r="C26">
        <v>0</v>
      </c>
      <c r="D26" s="20" t="s">
        <v>208</v>
      </c>
      <c r="J26"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>IF($M26&lt;&gt;0,SUM($M$5:$M26),0)</f>
        <v>0</v>
      </c>
      <c r="Q26">
        <f>IF($N26&lt;&gt;0,SUM($N$5:$N26)+15,0)</f>
        <v>0</v>
      </c>
      <c r="R26">
        <f>IF($O26&lt;&gt;0,SUM($O$6:$O26)+30,0)</f>
        <v>0</v>
      </c>
      <c r="S26">
        <f t="shared" si="13"/>
        <v>0</v>
      </c>
      <c r="T26">
        <f t="shared" si="13"/>
        <v>0</v>
      </c>
      <c r="U26">
        <f t="shared" si="13"/>
        <v>0</v>
      </c>
      <c r="V26" s="17"/>
    </row>
    <row r="27" spans="1:22" ht="12.75">
      <c r="A27" s="8">
        <f t="shared" si="8"/>
        <v>0</v>
      </c>
      <c r="C27" s="22">
        <v>0</v>
      </c>
      <c r="D27" s="3" t="s">
        <v>140</v>
      </c>
      <c r="E27">
        <f>VLOOKUP($D27,UKdata!$A$2:$E$49,2,FALSE)</f>
        <v>0</v>
      </c>
      <c r="F27">
        <f>IF($C27="Reg-8",VLOOKUP($D27,UKdata!$A$2:$E$49,3,FALSE),0)</f>
        <v>0</v>
      </c>
      <c r="G27">
        <f>IF($C27="Exp-8",VLOOKUP($D27,UKdata!$A$2:$E$49,4,FALSE),0)</f>
        <v>0</v>
      </c>
      <c r="H27">
        <f>IF($C27="Vet-9",VLOOKUP($D27,UKdata!$A$2:$E$49,5,FALSE),0)</f>
        <v>0</v>
      </c>
      <c r="I27">
        <f aca="true" t="shared" si="14" ref="I27:I34">SUM(F27:H27)</f>
        <v>0</v>
      </c>
      <c r="J27" s="3"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>IF($M27&lt;&gt;0,SUM($M$5:$M27),0)</f>
        <v>0</v>
      </c>
      <c r="Q27">
        <f>IF($N27&lt;&gt;0,SUM($N$5:$N27)+15,0)</f>
        <v>0</v>
      </c>
      <c r="R27">
        <f>IF($O27&lt;&gt;0,SUM($O$6:$O27)+30,0)</f>
        <v>0</v>
      </c>
      <c r="S27">
        <f t="shared" si="13"/>
        <v>0</v>
      </c>
      <c r="T27">
        <f t="shared" si="13"/>
        <v>0</v>
      </c>
      <c r="U27">
        <f t="shared" si="13"/>
        <v>0</v>
      </c>
      <c r="V27" s="17"/>
    </row>
    <row r="28" spans="3:22" ht="12.75">
      <c r="C28" s="22">
        <v>0</v>
      </c>
      <c r="D28" s="3" t="s">
        <v>140</v>
      </c>
      <c r="E28">
        <f>VLOOKUP($D28,UKdata!$A$2:$E$49,2,FALSE)</f>
        <v>0</v>
      </c>
      <c r="F28">
        <f>IF($C28="Reg-8",VLOOKUP($D28,UKdata!$A$2:$E$49,3,FALSE),0)</f>
        <v>0</v>
      </c>
      <c r="G28">
        <f>IF($C28="Exp-8",VLOOKUP($D28,UKdata!$A$2:$E$49,4,FALSE),0)</f>
        <v>0</v>
      </c>
      <c r="H28">
        <f>IF($C28="Vet-9",VLOOKUP($D28,UKdata!$A$2:$E$49,5,FALSE),0)</f>
        <v>0</v>
      </c>
      <c r="I28">
        <f t="shared" si="14"/>
        <v>0</v>
      </c>
      <c r="J28" s="3">
        <v>0</v>
      </c>
      <c r="V28" s="17"/>
    </row>
    <row r="29" spans="1:22" ht="12.75">
      <c r="A29" s="8">
        <f t="shared" si="8"/>
        <v>0</v>
      </c>
      <c r="C29" s="22">
        <v>0</v>
      </c>
      <c r="D29" s="3" t="s">
        <v>136</v>
      </c>
      <c r="E29">
        <f>VLOOKUP($D29,UKdata!$A$2:$E$49,2,FALSE)</f>
        <v>0</v>
      </c>
      <c r="F29">
        <f>IF($C29="Reg-8",VLOOKUP($D29,UKdata!$A$2:$E$49,3,FALSE),0)</f>
        <v>0</v>
      </c>
      <c r="G29">
        <f>IF($C29="Exp-8",VLOOKUP($D29,UKdata!$A$2:$E$49,4,FALSE),0)</f>
        <v>0</v>
      </c>
      <c r="H29">
        <f>IF($C29="Vet-9",VLOOKUP($D29,UKdata!$A$2:$E$49,5,FALSE),0)</f>
        <v>0</v>
      </c>
      <c r="I29">
        <f t="shared" si="14"/>
        <v>0</v>
      </c>
      <c r="J29" s="3"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>IF($M29&lt;&gt;0,SUM($M$5:$M29),0)</f>
        <v>0</v>
      </c>
      <c r="Q29">
        <f>IF($N29&lt;&gt;0,SUM($N$5:$N29)+15,0)</f>
        <v>0</v>
      </c>
      <c r="R29">
        <f>IF($O29&lt;&gt;0,SUM($O$6:$O29)+30,0)</f>
        <v>0</v>
      </c>
      <c r="S29">
        <f t="shared" si="13"/>
        <v>0</v>
      </c>
      <c r="T29">
        <f t="shared" si="13"/>
        <v>0</v>
      </c>
      <c r="U29">
        <f t="shared" si="13"/>
        <v>0</v>
      </c>
      <c r="V29" s="17"/>
    </row>
    <row r="30" spans="1:22" ht="12.75">
      <c r="A30" s="8">
        <f t="shared" si="8"/>
        <v>0</v>
      </c>
      <c r="C30" s="22">
        <v>0</v>
      </c>
      <c r="D30" s="3" t="s">
        <v>136</v>
      </c>
      <c r="E30">
        <f>VLOOKUP($D30,UKdata!$A$2:$E$49,2,FALSE)</f>
        <v>0</v>
      </c>
      <c r="F30">
        <f>IF($C30="Reg-8",VLOOKUP($D30,UKdata!$A$2:$E$49,3,FALSE),0)</f>
        <v>0</v>
      </c>
      <c r="G30">
        <f>IF($C30="Exp-8",VLOOKUP($D30,UKdata!$A$2:$E$49,4,FALSE),0)</f>
        <v>0</v>
      </c>
      <c r="H30">
        <f>IF($C30="Vet-9",VLOOKUP($D30,UKdata!$A$2:$E$49,5,FALSE),0)</f>
        <v>0</v>
      </c>
      <c r="I30">
        <f t="shared" si="14"/>
        <v>0</v>
      </c>
      <c r="J30" s="3"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>IF($M30&lt;&gt;0,SUM($M$5:$M30),0)</f>
        <v>0</v>
      </c>
      <c r="Q30">
        <f>IF($N30&lt;&gt;0,SUM($N$5:$N30)+15,0)</f>
        <v>0</v>
      </c>
      <c r="R30">
        <f>IF($O30&lt;&gt;0,SUM($O$6:$O30)+30,0)</f>
        <v>0</v>
      </c>
      <c r="S30">
        <f t="shared" si="13"/>
        <v>0</v>
      </c>
      <c r="T30">
        <f t="shared" si="13"/>
        <v>0</v>
      </c>
      <c r="U30">
        <f t="shared" si="13"/>
        <v>0</v>
      </c>
      <c r="V30" s="17"/>
    </row>
    <row r="31" spans="1:22" ht="12.75">
      <c r="A31" s="8">
        <f>IF(M31=1,"Ord"&amp;P31,IF(N31=1,"Ord"&amp;Q31,IF(O31=1,"Ord"&amp;R31,IF(I31&gt;0,"E",0))))</f>
        <v>0</v>
      </c>
      <c r="C31" s="22">
        <v>0</v>
      </c>
      <c r="D31" s="3" t="s">
        <v>145</v>
      </c>
      <c r="E31">
        <f>VLOOKUP($D31,UKdata!$A$2:$E$49,2,FALSE)</f>
        <v>0</v>
      </c>
      <c r="F31">
        <f>IF($C31="Reg-8",VLOOKUP($D31,UKdata!$A$2:$E$49,3,FALSE),0)</f>
        <v>0</v>
      </c>
      <c r="G31">
        <f>IF($C31="Exp-8",VLOOKUP($D31,UKdata!$A$2:$E$49,4,FALSE),0)</f>
        <v>0</v>
      </c>
      <c r="H31">
        <f>IF($C31="Vet-9",VLOOKUP($D31,UKdata!$A$2:$E$49,5,FALSE),0)</f>
        <v>0</v>
      </c>
      <c r="I31">
        <f t="shared" si="14"/>
        <v>0</v>
      </c>
      <c r="J31" s="3">
        <v>0</v>
      </c>
      <c r="M31">
        <f>IF(J31="Holding",1,0)</f>
        <v>0</v>
      </c>
      <c r="N31">
        <f>IF(J31="Reserve",1,0)</f>
        <v>0</v>
      </c>
      <c r="O31">
        <f>IF(J31="Assault",1,0)</f>
        <v>0</v>
      </c>
      <c r="P31">
        <f>IF($M31&lt;&gt;0,SUM($M$5:$M31),0)</f>
        <v>0</v>
      </c>
      <c r="Q31">
        <f>IF($N31&lt;&gt;0,SUM($N$5:$N31)+15,0)</f>
        <v>0</v>
      </c>
      <c r="R31">
        <f>IF($O31&lt;&gt;0,SUM($O$6:$O31)+30,0)</f>
        <v>0</v>
      </c>
      <c r="S31">
        <f aca="true" t="shared" si="15" ref="S31:U34">IF(M31&gt;0,$I31,0)</f>
        <v>0</v>
      </c>
      <c r="T31">
        <f t="shared" si="15"/>
        <v>0</v>
      </c>
      <c r="U31">
        <f t="shared" si="15"/>
        <v>0</v>
      </c>
      <c r="V31" s="17"/>
    </row>
    <row r="32" spans="1:22" ht="12.75">
      <c r="A32" s="8">
        <f>IF(M32=1,"Ord"&amp;P32,IF(N32=1,"Ord"&amp;Q32,IF(O32=1,"Ord"&amp;R32,IF(I32&gt;0,"E",0))))</f>
        <v>0</v>
      </c>
      <c r="C32" s="22">
        <v>0</v>
      </c>
      <c r="D32" s="3" t="s">
        <v>0</v>
      </c>
      <c r="E32">
        <f>VLOOKUP($D32,UKdata!$A$2:$E$49,2,FALSE)</f>
        <v>0</v>
      </c>
      <c r="F32">
        <f>IF($C32="Reg-8",VLOOKUP($D32,UKdata!$A$2:$E$49,3,FALSE),0)</f>
        <v>0</v>
      </c>
      <c r="G32">
        <f>IF($C32="Exp-8",VLOOKUP($D32,UKdata!$A$2:$E$49,4,FALSE),0)</f>
        <v>0</v>
      </c>
      <c r="H32">
        <f>IF($C32="Vet-9",VLOOKUP($D32,UKdata!$A$2:$E$49,5,FALSE),0)</f>
        <v>0</v>
      </c>
      <c r="I32">
        <f t="shared" si="14"/>
        <v>0</v>
      </c>
      <c r="J32" s="3">
        <v>0</v>
      </c>
      <c r="M32">
        <f>IF(J32="Holding",1,0)</f>
        <v>0</v>
      </c>
      <c r="N32">
        <f>IF(J32="Reserve",1,0)</f>
        <v>0</v>
      </c>
      <c r="O32">
        <f>IF(J32="Assault",1,0)</f>
        <v>0</v>
      </c>
      <c r="P32">
        <f>IF($M32&lt;&gt;0,SUM($M$5:$M32),0)</f>
        <v>0</v>
      </c>
      <c r="Q32">
        <f>IF($N32&lt;&gt;0,SUM($N$5:$N32)+15,0)</f>
        <v>0</v>
      </c>
      <c r="R32">
        <f>IF($O32&lt;&gt;0,SUM($O$6:$O32)+30,0)</f>
        <v>0</v>
      </c>
      <c r="S32">
        <f t="shared" si="15"/>
        <v>0</v>
      </c>
      <c r="T32">
        <f t="shared" si="15"/>
        <v>0</v>
      </c>
      <c r="U32">
        <f t="shared" si="15"/>
        <v>0</v>
      </c>
      <c r="V32" s="17"/>
    </row>
    <row r="33" spans="1:22" ht="12.75">
      <c r="A33" s="8">
        <f>IF(M33=1,"Ord"&amp;P33,IF(N33=1,"Ord"&amp;Q33,IF(O33=1,"Ord"&amp;R33,IF(I33&gt;0,"E",0))))</f>
        <v>0</v>
      </c>
      <c r="C33" s="22">
        <v>0</v>
      </c>
      <c r="D33" s="3" t="s">
        <v>178</v>
      </c>
      <c r="E33">
        <f>VLOOKUP($D33,UKdata!$A$2:$E$202,2,FALSE)</f>
        <v>0</v>
      </c>
      <c r="F33">
        <f>IF($C33="Reg-8",VLOOKUP($D33,UKdata!$A$2:$E$202,3,FALSE),0)</f>
        <v>0</v>
      </c>
      <c r="G33">
        <f>IF($C33="Exp-8",VLOOKUP($D33,UKdata!$A$2:$E$202,4,FALSE),0)</f>
        <v>0</v>
      </c>
      <c r="H33">
        <f>IF($C33="Vet-9",VLOOKUP($D33,UKdata!$A$2:$E$202,5,FALSE),0)</f>
        <v>0</v>
      </c>
      <c r="I33">
        <f t="shared" si="14"/>
        <v>0</v>
      </c>
      <c r="J33" s="3">
        <v>0</v>
      </c>
      <c r="M33">
        <f>IF(J33="Holding",1,0)</f>
        <v>0</v>
      </c>
      <c r="N33">
        <f>IF(J33="Reserve",1,0)</f>
        <v>0</v>
      </c>
      <c r="O33">
        <f>IF(J33="Assault",1,0)</f>
        <v>0</v>
      </c>
      <c r="P33">
        <f>IF($M33&lt;&gt;0,SUM($M$5:$M33),0)</f>
        <v>0</v>
      </c>
      <c r="Q33">
        <f>IF($N33&lt;&gt;0,SUM($N$5:$N33)+15,0)</f>
        <v>0</v>
      </c>
      <c r="R33">
        <f>IF($O33&lt;&gt;0,SUM($O$6:$O33)+30,0)</f>
        <v>0</v>
      </c>
      <c r="S33">
        <f t="shared" si="15"/>
        <v>0</v>
      </c>
      <c r="T33">
        <f t="shared" si="15"/>
        <v>0</v>
      </c>
      <c r="U33">
        <f t="shared" si="15"/>
        <v>0</v>
      </c>
      <c r="V33" s="17"/>
    </row>
    <row r="34" spans="1:22" ht="12.75">
      <c r="A34" s="8">
        <f>IF(M34=1,"Ord"&amp;P34,IF(N34=1,"Ord"&amp;Q34,IF(O34=1,"Ord"&amp;R34,IF(I34&gt;0,"E",0))))</f>
        <v>0</v>
      </c>
      <c r="C34" s="22">
        <v>0</v>
      </c>
      <c r="D34" s="3" t="s">
        <v>181</v>
      </c>
      <c r="E34">
        <f>VLOOKUP($D34,UKdata!$A$2:$E$202,2,FALSE)</f>
        <v>0</v>
      </c>
      <c r="F34">
        <f>IF($C34="Reg-8",VLOOKUP($D34,UKdata!$A$2:$E$202,3,FALSE),0)</f>
        <v>0</v>
      </c>
      <c r="G34">
        <f>IF($C34="Exp-8",VLOOKUP($D34,UKdata!$A$2:$E$202,4,FALSE),0)</f>
        <v>0</v>
      </c>
      <c r="H34">
        <f>IF($C34="Vet-9",VLOOKUP($D34,UKdata!$A$2:$E$202,5,FALSE),0)</f>
        <v>0</v>
      </c>
      <c r="I34">
        <f t="shared" si="14"/>
        <v>0</v>
      </c>
      <c r="J34" s="3">
        <v>0</v>
      </c>
      <c r="M34">
        <f>IF(J34="Holding",1,0)</f>
        <v>0</v>
      </c>
      <c r="N34">
        <f>IF(J34="Reserve",1,0)</f>
        <v>0</v>
      </c>
      <c r="O34">
        <f>IF(J34="Assault",1,0)</f>
        <v>0</v>
      </c>
      <c r="P34">
        <f>IF($M34&lt;&gt;0,SUM($M$5:$M34),0)</f>
        <v>0</v>
      </c>
      <c r="Q34">
        <f>IF($N34&lt;&gt;0,SUM($N$5:$N34)+15,0)</f>
        <v>0</v>
      </c>
      <c r="R34">
        <f>IF($O34&lt;&gt;0,SUM($O$6:$O34)+30,0)</f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 s="17"/>
    </row>
    <row r="35" spans="1:22" ht="12.75">
      <c r="A35" s="8">
        <f t="shared" si="8"/>
        <v>0</v>
      </c>
      <c r="C35">
        <v>0</v>
      </c>
      <c r="J35"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>IF($M35&lt;&gt;0,SUM($M$5:$M35),0)</f>
        <v>0</v>
      </c>
      <c r="Q35">
        <f>IF($N35&lt;&gt;0,SUM($N$5:$N35)+15,0)</f>
        <v>0</v>
      </c>
      <c r="R35">
        <f>IF($O35&lt;&gt;0,SUM($O$6:$O35)+30,0)</f>
        <v>0</v>
      </c>
      <c r="S35">
        <f t="shared" si="13"/>
        <v>0</v>
      </c>
      <c r="T35">
        <f t="shared" si="13"/>
        <v>0</v>
      </c>
      <c r="U35">
        <f t="shared" si="13"/>
        <v>0</v>
      </c>
      <c r="V35" s="17"/>
    </row>
    <row r="36" spans="1:22" ht="12.75">
      <c r="A36" s="8">
        <f t="shared" si="8"/>
        <v>0</v>
      </c>
      <c r="C36">
        <v>0</v>
      </c>
      <c r="D36" s="20" t="s">
        <v>209</v>
      </c>
      <c r="J36"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>IF($M36&lt;&gt;0,SUM($M$5:$M36),0)</f>
        <v>0</v>
      </c>
      <c r="Q36">
        <f>IF($N36&lt;&gt;0,SUM($N$5:$N36)+15,0)</f>
        <v>0</v>
      </c>
      <c r="R36">
        <f>IF($O36&lt;&gt;0,SUM($O$6:$O36)+30,0)</f>
        <v>0</v>
      </c>
      <c r="S36">
        <f t="shared" si="13"/>
        <v>0</v>
      </c>
      <c r="T36">
        <f t="shared" si="13"/>
        <v>0</v>
      </c>
      <c r="U36">
        <f t="shared" si="13"/>
        <v>0</v>
      </c>
      <c r="V36" s="17"/>
    </row>
    <row r="37" spans="1:22" ht="12.75">
      <c r="A37" s="8">
        <f t="shared" si="8"/>
        <v>0</v>
      </c>
      <c r="C37" s="22">
        <v>0</v>
      </c>
      <c r="D37" s="3" t="s">
        <v>164</v>
      </c>
      <c r="E37">
        <f>VLOOKUP($D37,UKdata!$A$2:$E$202,2,FALSE)</f>
        <v>0</v>
      </c>
      <c r="F37">
        <f>IF($C37="Reg-8",VLOOKUP($D37,UKdata!$A$2:$E$202,3,FALSE),0)</f>
        <v>0</v>
      </c>
      <c r="G37">
        <f>IF($C37="Exp-8",VLOOKUP($D37,UKdata!$A$2:$E$202,4,FALSE),0)</f>
        <v>0</v>
      </c>
      <c r="H37">
        <f>IF($C37="Vet-9",VLOOKUP($D37,UKdata!$A$2:$E$202,5,FALSE),0)</f>
        <v>0</v>
      </c>
      <c r="I37">
        <f>SUM(F37:H37)</f>
        <v>0</v>
      </c>
      <c r="J37" s="3">
        <v>0</v>
      </c>
      <c r="K37">
        <f>VLOOKUP($D37,UKdata!$A$2:$F$202,6,FALSE)</f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>IF($M37&lt;&gt;0,SUM($M$5:$M37),0)</f>
        <v>0</v>
      </c>
      <c r="Q37">
        <f>IF($N37&lt;&gt;0,SUM($N$5:$N37)+15,0)</f>
        <v>0</v>
      </c>
      <c r="R37">
        <f>IF($O37&lt;&gt;0,SUM($O$6:$O37)+30,0)</f>
        <v>0</v>
      </c>
      <c r="S37">
        <f t="shared" si="13"/>
        <v>0</v>
      </c>
      <c r="T37">
        <f t="shared" si="13"/>
        <v>0</v>
      </c>
      <c r="U37">
        <f t="shared" si="13"/>
        <v>0</v>
      </c>
      <c r="V37" s="17"/>
    </row>
    <row r="38" spans="1:22" ht="12.75">
      <c r="A38" s="8">
        <f t="shared" si="8"/>
        <v>0</v>
      </c>
      <c r="C38" s="22">
        <v>0</v>
      </c>
      <c r="D38" s="3" t="s">
        <v>155</v>
      </c>
      <c r="E38">
        <f>VLOOKUP($D38,UKdata!$A$2:$E$202,2,FALSE)</f>
        <v>0</v>
      </c>
      <c r="F38">
        <f>IF($C38="Reg-8",VLOOKUP($D38,UKdata!$A$2:$E$202,3,FALSE),0)</f>
        <v>0</v>
      </c>
      <c r="G38">
        <f>IF($C38="Exp-8",VLOOKUP($D38,UKdata!$A$2:$E$202,4,FALSE),0)</f>
        <v>0</v>
      </c>
      <c r="H38">
        <f>IF($C38="Vet-9",VLOOKUP($D38,UKdata!$A$2:$E$202,5,FALSE),0)</f>
        <v>0</v>
      </c>
      <c r="I38">
        <f>SUM(F38:H38)</f>
        <v>0</v>
      </c>
      <c r="J38" s="3">
        <v>0</v>
      </c>
      <c r="K38" s="4"/>
      <c r="M38">
        <f t="shared" si="9"/>
        <v>0</v>
      </c>
      <c r="N38">
        <f t="shared" si="10"/>
        <v>0</v>
      </c>
      <c r="O38">
        <f t="shared" si="11"/>
        <v>0</v>
      </c>
      <c r="P38">
        <f>IF($M38&lt;&gt;0,SUM($M$5:$M38),0)</f>
        <v>0</v>
      </c>
      <c r="Q38">
        <f>IF($N38&lt;&gt;0,SUM($N$5:$N38)+15,0)</f>
        <v>0</v>
      </c>
      <c r="R38">
        <f>IF($O38&lt;&gt;0,SUM($O$6:$O38)+30,0)</f>
        <v>0</v>
      </c>
      <c r="S38">
        <f t="shared" si="13"/>
        <v>0</v>
      </c>
      <c r="T38">
        <f t="shared" si="13"/>
        <v>0</v>
      </c>
      <c r="U38">
        <f t="shared" si="13"/>
        <v>0</v>
      </c>
      <c r="V38" s="17"/>
    </row>
    <row r="39" spans="1:22" ht="12.75">
      <c r="A39" s="8">
        <f t="shared" si="8"/>
        <v>0</v>
      </c>
      <c r="C39" s="22">
        <v>0</v>
      </c>
      <c r="D39" s="3" t="s">
        <v>155</v>
      </c>
      <c r="E39">
        <f>VLOOKUP($D39,UKdata!$A$2:$E$202,2,FALSE)</f>
        <v>0</v>
      </c>
      <c r="F39">
        <f>IF($C39="Reg-8",VLOOKUP($D39,UKdata!$A$2:$E$202,3,FALSE),0)</f>
        <v>0</v>
      </c>
      <c r="G39">
        <f>IF($C39="Exp-8",VLOOKUP($D39,UKdata!$A$2:$E$202,4,FALSE),0)</f>
        <v>0</v>
      </c>
      <c r="H39">
        <f>IF($C39="Vet-9",VLOOKUP($D39,UKdata!$A$2:$E$202,5,FALSE),0)</f>
        <v>0</v>
      </c>
      <c r="I39">
        <f>SUM(F39:H39)</f>
        <v>0</v>
      </c>
      <c r="J39" s="3">
        <v>0</v>
      </c>
      <c r="K39" s="4"/>
      <c r="M39">
        <f t="shared" si="9"/>
        <v>0</v>
      </c>
      <c r="N39">
        <f t="shared" si="10"/>
        <v>0</v>
      </c>
      <c r="O39">
        <f t="shared" si="11"/>
        <v>0</v>
      </c>
      <c r="P39">
        <f>IF($M39&lt;&gt;0,SUM($M$5:$M39),0)</f>
        <v>0</v>
      </c>
      <c r="Q39">
        <f>IF($N39&lt;&gt;0,SUM($N$5:$N39)+15,0)</f>
        <v>0</v>
      </c>
      <c r="R39">
        <f>IF($O39&lt;&gt;0,SUM($O$6:$O39)+30,0)</f>
        <v>0</v>
      </c>
      <c r="S39">
        <f t="shared" si="13"/>
        <v>0</v>
      </c>
      <c r="T39">
        <f t="shared" si="13"/>
        <v>0</v>
      </c>
      <c r="U39">
        <f t="shared" si="13"/>
        <v>0</v>
      </c>
      <c r="V39" s="17"/>
    </row>
    <row r="40" spans="1:22" ht="12.75">
      <c r="A40" s="8">
        <f t="shared" si="8"/>
        <v>0</v>
      </c>
      <c r="C40" s="22">
        <v>0</v>
      </c>
      <c r="D40" s="3" t="s">
        <v>152</v>
      </c>
      <c r="E40">
        <f>VLOOKUP($D40,UKdata!$A$2:$E$202,2,FALSE)</f>
        <v>0</v>
      </c>
      <c r="F40">
        <f>IF($C40="Reg-8",VLOOKUP($D40,UKdata!$A$2:$E$202,3,FALSE),0)</f>
        <v>0</v>
      </c>
      <c r="G40">
        <f>IF($C40="Exp-8",VLOOKUP($D40,UKdata!$A$2:$E$202,4,FALSE),0)</f>
        <v>0</v>
      </c>
      <c r="H40">
        <f>IF($C40="Vet-9",VLOOKUP($D40,UKdata!$A$2:$E$202,5,FALSE),0)</f>
        <v>0</v>
      </c>
      <c r="I40">
        <f>SUM(F40:H40)</f>
        <v>0</v>
      </c>
      <c r="J40" s="3">
        <v>0</v>
      </c>
      <c r="K40" s="4"/>
      <c r="M40">
        <f t="shared" si="9"/>
        <v>0</v>
      </c>
      <c r="N40">
        <f t="shared" si="10"/>
        <v>0</v>
      </c>
      <c r="O40">
        <f t="shared" si="11"/>
        <v>0</v>
      </c>
      <c r="P40">
        <f>IF($M40&lt;&gt;0,SUM($M$5:$M40),0)</f>
        <v>0</v>
      </c>
      <c r="Q40">
        <f>IF($N40&lt;&gt;0,SUM($N$5:$N40)+15,0)</f>
        <v>0</v>
      </c>
      <c r="R40">
        <f>IF($O40&lt;&gt;0,SUM($O$6:$O40)+30,0)</f>
        <v>0</v>
      </c>
      <c r="S40">
        <f t="shared" si="13"/>
        <v>0</v>
      </c>
      <c r="T40">
        <f t="shared" si="13"/>
        <v>0</v>
      </c>
      <c r="U40">
        <f t="shared" si="13"/>
        <v>0</v>
      </c>
      <c r="V40" s="17"/>
    </row>
    <row r="41" spans="1:22" ht="12.75">
      <c r="A41" s="8">
        <f>IF(M41=1,"Ord"&amp;P41,IF(N41=1,"Ord"&amp;Q41,IF(O41=1,"Ord"&amp;R41,IF(I41&gt;0,"E",0))))</f>
        <v>0</v>
      </c>
      <c r="C41" s="22">
        <v>0</v>
      </c>
      <c r="D41" s="3" t="s">
        <v>152</v>
      </c>
      <c r="E41">
        <f>VLOOKUP($D41,UKdata!$A$2:$E$202,2,FALSE)</f>
        <v>0</v>
      </c>
      <c r="F41">
        <f>IF($C41="Reg-8",VLOOKUP($D41,UKdata!$A$2:$E$202,3,FALSE),0)</f>
        <v>0</v>
      </c>
      <c r="G41">
        <f>IF($C41="Exp-8",VLOOKUP($D41,UKdata!$A$2:$E$202,4,FALSE),0)</f>
        <v>0</v>
      </c>
      <c r="H41">
        <f>IF($C41="Vet-9",VLOOKUP($D41,UKdata!$A$2:$E$202,5,FALSE),0)</f>
        <v>0</v>
      </c>
      <c r="I41">
        <f>SUM(F41:H41)</f>
        <v>0</v>
      </c>
      <c r="J41" s="3">
        <v>0</v>
      </c>
      <c r="K41" s="4"/>
      <c r="M41">
        <f>IF(J41="Holding",1,0)</f>
        <v>0</v>
      </c>
      <c r="N41">
        <f>IF(J41="Reserve",1,0)</f>
        <v>0</v>
      </c>
      <c r="O41">
        <f>IF(J41="Assault",1,0)</f>
        <v>0</v>
      </c>
      <c r="P41">
        <f>IF($M41&lt;&gt;0,SUM($M$5:$M41),0)</f>
        <v>0</v>
      </c>
      <c r="Q41">
        <f>IF($N41&lt;&gt;0,SUM($N$5:$N41)+15,0)</f>
        <v>0</v>
      </c>
      <c r="R41">
        <f>IF($O41&lt;&gt;0,SUM($O$6:$O41)+30,0)</f>
        <v>0</v>
      </c>
      <c r="S41">
        <f>IF(M41&gt;0,$I41,0)</f>
        <v>0</v>
      </c>
      <c r="T41">
        <f>IF(N41&gt;0,$I41,0)</f>
        <v>0</v>
      </c>
      <c r="U41">
        <f>IF(O41&gt;0,$I41,0)</f>
        <v>0</v>
      </c>
      <c r="V41" s="17"/>
    </row>
    <row r="42" spans="1:22" ht="12.75">
      <c r="A42" s="8">
        <f t="shared" si="8"/>
        <v>0</v>
      </c>
      <c r="C42">
        <v>0</v>
      </c>
      <c r="D42" t="s">
        <v>171</v>
      </c>
      <c r="J42">
        <v>0</v>
      </c>
      <c r="M42">
        <f t="shared" si="9"/>
        <v>0</v>
      </c>
      <c r="N42">
        <f t="shared" si="10"/>
        <v>0</v>
      </c>
      <c r="O42">
        <f t="shared" si="11"/>
        <v>0</v>
      </c>
      <c r="P42">
        <f>IF($M42&lt;&gt;0,SUM($M$5:$M42),0)</f>
        <v>0</v>
      </c>
      <c r="Q42">
        <f>IF($N42&lt;&gt;0,SUM($N$5:$N42)+15,0)</f>
        <v>0</v>
      </c>
      <c r="R42">
        <f>IF($O42&lt;&gt;0,SUM($O$6:$O42)+30,0)</f>
        <v>0</v>
      </c>
      <c r="S42">
        <f t="shared" si="13"/>
        <v>0</v>
      </c>
      <c r="T42">
        <f t="shared" si="13"/>
        <v>0</v>
      </c>
      <c r="U42">
        <f t="shared" si="13"/>
        <v>0</v>
      </c>
      <c r="V42" s="17"/>
    </row>
    <row r="43" spans="1:22" ht="12.75">
      <c r="A43" s="8">
        <f t="shared" si="8"/>
        <v>0</v>
      </c>
      <c r="C43">
        <v>0</v>
      </c>
      <c r="D43" s="20" t="s">
        <v>63</v>
      </c>
      <c r="J43"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>IF($M43&lt;&gt;0,SUM($M$5:$M43),0)</f>
        <v>0</v>
      </c>
      <c r="Q43">
        <f>IF($N43&lt;&gt;0,SUM($N$5:$N43)+15,0)</f>
        <v>0</v>
      </c>
      <c r="R43">
        <f>IF($O43&lt;&gt;0,SUM($O$6:$O43)+30,0)</f>
        <v>0</v>
      </c>
      <c r="S43">
        <f t="shared" si="13"/>
        <v>0</v>
      </c>
      <c r="T43">
        <f t="shared" si="13"/>
        <v>0</v>
      </c>
      <c r="U43">
        <f t="shared" si="13"/>
        <v>0</v>
      </c>
      <c r="V43" s="17"/>
    </row>
    <row r="44" spans="1:22" ht="12.75">
      <c r="A44" s="8">
        <f t="shared" si="8"/>
        <v>0</v>
      </c>
      <c r="C44" s="22">
        <v>0</v>
      </c>
      <c r="D44" s="3" t="s">
        <v>171</v>
      </c>
      <c r="E44">
        <f>VLOOKUP($D44,UKdata!$A$2:$E$202,2,FALSE)</f>
        <v>0</v>
      </c>
      <c r="F44">
        <f>IF($C44="Reg-8",VLOOKUP($D44,UKdata!$A$2:$E$202,3,FALSE),0)</f>
        <v>0</v>
      </c>
      <c r="G44">
        <f>IF($C44="Exp-8",VLOOKUP($D44,UKdata!$A$2:$E$202,4,FALSE),0)</f>
        <v>0</v>
      </c>
      <c r="H44">
        <f>IF($C44="Vet-9",VLOOKUP($D44,UKdata!$A$2:$E$202,5,FALSE),0)</f>
        <v>0</v>
      </c>
      <c r="I44">
        <f>SUM(F44:H44)</f>
        <v>0</v>
      </c>
      <c r="J44" s="3">
        <v>0</v>
      </c>
      <c r="M44">
        <f t="shared" si="9"/>
        <v>0</v>
      </c>
      <c r="N44">
        <f t="shared" si="10"/>
        <v>0</v>
      </c>
      <c r="O44">
        <f t="shared" si="11"/>
        <v>0</v>
      </c>
      <c r="P44">
        <f>IF($M44&lt;&gt;0,SUM($M$5:$M44),0)</f>
        <v>0</v>
      </c>
      <c r="Q44">
        <f>IF($N44&lt;&gt;0,SUM($N$5:$N44)+15,0)</f>
        <v>0</v>
      </c>
      <c r="R44">
        <f>IF($O44&lt;&gt;0,SUM($O$6:$O44)+30,0)</f>
        <v>0</v>
      </c>
      <c r="S44">
        <f t="shared" si="13"/>
        <v>0</v>
      </c>
      <c r="T44">
        <f t="shared" si="13"/>
        <v>0</v>
      </c>
      <c r="U44">
        <f t="shared" si="13"/>
        <v>0</v>
      </c>
      <c r="V44" s="17"/>
    </row>
    <row r="45" spans="1:22" ht="12.75">
      <c r="A45" s="8">
        <f t="shared" si="8"/>
        <v>0</v>
      </c>
      <c r="C45">
        <v>0</v>
      </c>
      <c r="J45"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>IF($M45&lt;&gt;0,SUM($M$5:$M45),0)</f>
        <v>0</v>
      </c>
      <c r="Q45">
        <f>IF($N45&lt;&gt;0,SUM($N$5:$N45)+15,0)</f>
        <v>0</v>
      </c>
      <c r="R45">
        <f>IF($O45&lt;&gt;0,SUM($O$6:$O45)+30,0)</f>
        <v>0</v>
      </c>
      <c r="S45">
        <f t="shared" si="13"/>
        <v>0</v>
      </c>
      <c r="T45">
        <f t="shared" si="13"/>
        <v>0</v>
      </c>
      <c r="U45">
        <f t="shared" si="13"/>
        <v>0</v>
      </c>
      <c r="V45" s="17"/>
    </row>
    <row r="46" spans="1:22" ht="12.75">
      <c r="A46" s="8">
        <f t="shared" si="8"/>
        <v>0</v>
      </c>
      <c r="C46">
        <v>0</v>
      </c>
      <c r="D46" s="20" t="s">
        <v>210</v>
      </c>
      <c r="J46"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>IF($M46&lt;&gt;0,SUM($M$5:$M46),0)</f>
        <v>0</v>
      </c>
      <c r="Q46">
        <f>IF($N46&lt;&gt;0,SUM($N$5:$N46)+15,0)</f>
        <v>0</v>
      </c>
      <c r="R46">
        <f>IF($O46&lt;&gt;0,SUM($O$6:$O46)+30,0)</f>
        <v>0</v>
      </c>
      <c r="S46">
        <f t="shared" si="13"/>
        <v>0</v>
      </c>
      <c r="T46">
        <f t="shared" si="13"/>
        <v>0</v>
      </c>
      <c r="U46">
        <f t="shared" si="13"/>
        <v>0</v>
      </c>
      <c r="V46" s="17"/>
    </row>
    <row r="47" spans="1:22" ht="12.75">
      <c r="A47" s="8">
        <f t="shared" si="8"/>
        <v>0</v>
      </c>
      <c r="C47" s="3">
        <v>0</v>
      </c>
      <c r="D47" s="3" t="s">
        <v>184</v>
      </c>
      <c r="E47">
        <f>VLOOKUP($D47,UKdata!$A$2:$E$202,2,FALSE)</f>
        <v>0</v>
      </c>
      <c r="F47">
        <f>IF($C47="Reg-8",VLOOKUP($D47,UKdata!$A$2:$E$202,3,FALSE),0)</f>
        <v>0</v>
      </c>
      <c r="G47">
        <f>IF($C47="Exp-8",VLOOKUP($D47,UKdata!$A$2:$E$202,4,FALSE),0)</f>
        <v>0</v>
      </c>
      <c r="H47">
        <f>IF($C47="Vet-9",VLOOKUP($D47,UKdata!$A$2:$E$202,5,FALSE),0)</f>
        <v>0</v>
      </c>
      <c r="I47">
        <f aca="true" t="shared" si="16" ref="I47:I53">SUM(F47:H47)</f>
        <v>0</v>
      </c>
      <c r="J47" s="3">
        <v>0</v>
      </c>
      <c r="K47">
        <f>VLOOKUP($D47,UKdata!$A$2:$F$202,6,FALSE)</f>
        <v>0</v>
      </c>
      <c r="M47">
        <f t="shared" si="9"/>
        <v>0</v>
      </c>
      <c r="N47">
        <f t="shared" si="10"/>
        <v>0</v>
      </c>
      <c r="O47">
        <f t="shared" si="11"/>
        <v>0</v>
      </c>
      <c r="P47">
        <f>IF($M47&lt;&gt;0,SUM($M$5:$M47),0)</f>
        <v>0</v>
      </c>
      <c r="Q47">
        <f>IF($N47&lt;&gt;0,SUM($N$5:$N47)+15,0)</f>
        <v>0</v>
      </c>
      <c r="R47">
        <f>IF($O47&lt;&gt;0,SUM($O$6:$O47)+30,0)</f>
        <v>0</v>
      </c>
      <c r="S47">
        <f t="shared" si="13"/>
        <v>0</v>
      </c>
      <c r="T47">
        <f t="shared" si="13"/>
        <v>0</v>
      </c>
      <c r="U47">
        <f t="shared" si="13"/>
        <v>0</v>
      </c>
      <c r="V47" s="17" t="e">
        <f>VLOOKUP($D47,UKdata!$A$2:$F$49,6,FALSE)</f>
        <v>#N/A</v>
      </c>
    </row>
    <row r="48" spans="1:22" ht="12.75">
      <c r="A48" s="8">
        <f>IF(M48=1,"Ord"&amp;P48,IF(N48=1,"Ord"&amp;Q48,IF(O48=1,"Ord"&amp;R48,IF(I48&gt;0,"E",0))))</f>
        <v>0</v>
      </c>
      <c r="C48" s="3">
        <v>0</v>
      </c>
      <c r="D48" s="3" t="s">
        <v>184</v>
      </c>
      <c r="E48">
        <f>VLOOKUP($D48,UKdata!$A$2:$E$202,2,FALSE)</f>
        <v>0</v>
      </c>
      <c r="F48">
        <f>IF($C48="Reg-8",VLOOKUP($D48,UKdata!$A$2:$E$202,3,FALSE),0)</f>
        <v>0</v>
      </c>
      <c r="G48">
        <f>IF($C48="Exp-8",VLOOKUP($D48,UKdata!$A$2:$E$202,4,FALSE),0)</f>
        <v>0</v>
      </c>
      <c r="H48">
        <f>IF($C48="Vet-9",VLOOKUP($D48,UKdata!$A$2:$E$202,5,FALSE),0)</f>
        <v>0</v>
      </c>
      <c r="I48">
        <f t="shared" si="16"/>
        <v>0</v>
      </c>
      <c r="J48" s="3">
        <v>0</v>
      </c>
      <c r="K48">
        <f>VLOOKUP($D48,UKdata!$A$2:$F$202,6,FALSE)</f>
        <v>0</v>
      </c>
      <c r="M48">
        <f>IF(J48="Holding",1,0)</f>
        <v>0</v>
      </c>
      <c r="N48">
        <f>IF(J48="Reserve",1,0)</f>
        <v>0</v>
      </c>
      <c r="O48">
        <f>IF(J48="Assault",1,0)</f>
        <v>0</v>
      </c>
      <c r="P48">
        <f>IF($M48&lt;&gt;0,SUM($M$5:$M48),0)</f>
        <v>0</v>
      </c>
      <c r="Q48">
        <f>IF($N48&lt;&gt;0,SUM($N$5:$N48)+15,0)</f>
        <v>0</v>
      </c>
      <c r="R48">
        <f>IF($O48&lt;&gt;0,SUM($O$6:$O48)+30,0)</f>
        <v>0</v>
      </c>
      <c r="S48">
        <f aca="true" t="shared" si="17" ref="S48:U49">IF(M48&gt;0,$I48,0)</f>
        <v>0</v>
      </c>
      <c r="T48">
        <f t="shared" si="17"/>
        <v>0</v>
      </c>
      <c r="U48">
        <f t="shared" si="17"/>
        <v>0</v>
      </c>
      <c r="V48" s="17" t="e">
        <f>VLOOKUP($D48,UKdata!$A$2:$F$49,6,FALSE)</f>
        <v>#N/A</v>
      </c>
    </row>
    <row r="49" spans="1:22" ht="12.75">
      <c r="A49" s="8">
        <f>IF(M49=1,"Ord"&amp;P49,IF(N49=1,"Ord"&amp;Q49,IF(O49=1,"Ord"&amp;R49,IF(I49&gt;0,"E",0))))</f>
        <v>0</v>
      </c>
      <c r="C49" s="3">
        <v>0</v>
      </c>
      <c r="D49" s="3" t="s">
        <v>184</v>
      </c>
      <c r="E49">
        <f>VLOOKUP($D49,UKdata!$A$2:$E$202,2,FALSE)</f>
        <v>0</v>
      </c>
      <c r="F49">
        <f>IF($C49="Reg-8",VLOOKUP($D49,UKdata!$A$2:$E$202,3,FALSE),0)</f>
        <v>0</v>
      </c>
      <c r="G49">
        <f>IF($C49="Exp-8",VLOOKUP($D49,UKdata!$A$2:$E$202,4,FALSE),0)</f>
        <v>0</v>
      </c>
      <c r="H49">
        <f>IF($C49="Vet-9",VLOOKUP($D49,UKdata!$A$2:$E$202,5,FALSE),0)</f>
        <v>0</v>
      </c>
      <c r="I49">
        <f t="shared" si="16"/>
        <v>0</v>
      </c>
      <c r="J49" s="3">
        <v>0</v>
      </c>
      <c r="K49">
        <f>VLOOKUP($D49,UKdata!$A$2:$F$202,6,FALSE)</f>
        <v>0</v>
      </c>
      <c r="M49">
        <f>IF(J49="Holding",1,0)</f>
        <v>0</v>
      </c>
      <c r="N49">
        <f>IF(J49="Reserve",1,0)</f>
        <v>0</v>
      </c>
      <c r="O49">
        <f>IF(J49="Assault",1,0)</f>
        <v>0</v>
      </c>
      <c r="P49">
        <f>IF($M49&lt;&gt;0,SUM($M$5:$M49),0)</f>
        <v>0</v>
      </c>
      <c r="Q49">
        <f>IF($N49&lt;&gt;0,SUM($N$5:$N49)+15,0)</f>
        <v>0</v>
      </c>
      <c r="R49">
        <f>IF($O49&lt;&gt;0,SUM($O$6:$O49)+30,0)</f>
        <v>0</v>
      </c>
      <c r="S49">
        <f t="shared" si="17"/>
        <v>0</v>
      </c>
      <c r="T49">
        <f t="shared" si="17"/>
        <v>0</v>
      </c>
      <c r="U49">
        <f t="shared" si="17"/>
        <v>0</v>
      </c>
      <c r="V49" s="17" t="e">
        <f>VLOOKUP($D49,UKdata!$A$2:$F$49,6,FALSE)</f>
        <v>#N/A</v>
      </c>
    </row>
    <row r="50" spans="1:22" ht="13.5" customHeight="1">
      <c r="A50" s="8">
        <f t="shared" si="8"/>
        <v>0</v>
      </c>
      <c r="C50" s="3">
        <v>0</v>
      </c>
      <c r="D50" s="3" t="s">
        <v>189</v>
      </c>
      <c r="E50">
        <f>VLOOKUP($D50,UKdata!$A$2:$E$202,2,FALSE)</f>
        <v>0</v>
      </c>
      <c r="F50">
        <f>IF($C50="Reg-8",VLOOKUP($D50,UKdata!$A$2:$E$202,3,FALSE),0)</f>
        <v>0</v>
      </c>
      <c r="G50">
        <f>IF($C50="Exp-8",VLOOKUP($D50,UKdata!$A$2:$E$202,4,FALSE),0)</f>
        <v>0</v>
      </c>
      <c r="H50">
        <f>IF($C50="Vet-9",VLOOKUP($D50,UKdata!$A$2:$E$202,5,FALSE),0)</f>
        <v>0</v>
      </c>
      <c r="I50">
        <f t="shared" si="16"/>
        <v>0</v>
      </c>
      <c r="J50" s="3">
        <v>0</v>
      </c>
      <c r="K50">
        <f>VLOOKUP($D50,UKdata!$A$2:$F$202,6,FALSE)</f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>IF($M50&lt;&gt;0,SUM($M$5:$M50),0)</f>
        <v>0</v>
      </c>
      <c r="Q50">
        <f>IF($N50&lt;&gt;0,SUM($N$5:$N50)+15,0)</f>
        <v>0</v>
      </c>
      <c r="R50">
        <f>IF($O50&lt;&gt;0,SUM($O$6:$O50)+30,0)</f>
        <v>0</v>
      </c>
      <c r="S50">
        <f t="shared" si="13"/>
        <v>0</v>
      </c>
      <c r="T50">
        <f t="shared" si="13"/>
        <v>0</v>
      </c>
      <c r="U50">
        <f t="shared" si="13"/>
        <v>0</v>
      </c>
      <c r="V50" s="17" t="e">
        <f>VLOOKUP($D50,UKdata!$A$2:$F$49,6,FALSE)</f>
        <v>#N/A</v>
      </c>
    </row>
    <row r="51" spans="1:22" ht="13.5" customHeight="1">
      <c r="A51" s="8">
        <f>IF(M51=1,"Ord"&amp;P51,IF(N51=1,"Ord"&amp;Q51,IF(O51=1,"Ord"&amp;R51,IF(I51&gt;0,"E",0))))</f>
        <v>0</v>
      </c>
      <c r="C51" s="3">
        <v>0</v>
      </c>
      <c r="D51" s="3" t="s">
        <v>189</v>
      </c>
      <c r="E51">
        <f>VLOOKUP($D51,UKdata!$A$2:$E$202,2,FALSE)</f>
        <v>0</v>
      </c>
      <c r="F51">
        <f>IF($C51="Reg-8",VLOOKUP($D51,UKdata!$A$2:$E$202,3,FALSE),0)</f>
        <v>0</v>
      </c>
      <c r="G51">
        <f>IF($C51="Exp-8",VLOOKUP($D51,UKdata!$A$2:$E$202,4,FALSE),0)</f>
        <v>0</v>
      </c>
      <c r="H51">
        <f>IF($C51="Vet-9",VLOOKUP($D51,UKdata!$A$2:$E$202,5,FALSE),0)</f>
        <v>0</v>
      </c>
      <c r="I51">
        <f t="shared" si="16"/>
        <v>0</v>
      </c>
      <c r="J51" s="3">
        <v>0</v>
      </c>
      <c r="K51">
        <f>VLOOKUP($D51,UKdata!$A$2:$F$202,6,FALSE)</f>
        <v>0</v>
      </c>
      <c r="M51">
        <f>IF(J51="Holding",1,0)</f>
        <v>0</v>
      </c>
      <c r="N51">
        <f>IF(J51="Reserve",1,0)</f>
        <v>0</v>
      </c>
      <c r="O51">
        <f>IF(J51="Assault",1,0)</f>
        <v>0</v>
      </c>
      <c r="P51">
        <f>IF($M51&lt;&gt;0,SUM($M$5:$M51),0)</f>
        <v>0</v>
      </c>
      <c r="Q51">
        <f>IF($N51&lt;&gt;0,SUM($N$5:$N51)+15,0)</f>
        <v>0</v>
      </c>
      <c r="R51">
        <f>IF($O51&lt;&gt;0,SUM($O$6:$O51)+30,0)</f>
        <v>0</v>
      </c>
      <c r="S51">
        <f aca="true" t="shared" si="18" ref="S51:U52">IF(M51&gt;0,$I51,0)</f>
        <v>0</v>
      </c>
      <c r="T51">
        <f t="shared" si="18"/>
        <v>0</v>
      </c>
      <c r="U51">
        <f t="shared" si="18"/>
        <v>0</v>
      </c>
      <c r="V51" s="17" t="e">
        <f>VLOOKUP($D51,UKdata!$A$2:$F$49,6,FALSE)</f>
        <v>#N/A</v>
      </c>
    </row>
    <row r="52" spans="1:22" ht="13.5" customHeight="1">
      <c r="A52" s="8">
        <f>IF(M52=1,"Ord"&amp;P52,IF(N52=1,"Ord"&amp;Q52,IF(O52=1,"Ord"&amp;R52,IF(I52&gt;0,"E",0))))</f>
        <v>0</v>
      </c>
      <c r="C52" s="3">
        <v>0</v>
      </c>
      <c r="D52" s="3" t="s">
        <v>189</v>
      </c>
      <c r="E52">
        <f>VLOOKUP($D52,UKdata!$A$2:$E$202,2,FALSE)</f>
        <v>0</v>
      </c>
      <c r="F52">
        <f>IF($C52="Reg-8",VLOOKUP($D52,UKdata!$A$2:$E$202,3,FALSE),0)</f>
        <v>0</v>
      </c>
      <c r="G52">
        <f>IF($C52="Exp-8",VLOOKUP($D52,UKdata!$A$2:$E$202,4,FALSE),0)</f>
        <v>0</v>
      </c>
      <c r="H52">
        <f>IF($C52="Vet-9",VLOOKUP($D52,UKdata!$A$2:$E$202,5,FALSE),0)</f>
        <v>0</v>
      </c>
      <c r="I52">
        <f t="shared" si="16"/>
        <v>0</v>
      </c>
      <c r="J52" s="3">
        <v>0</v>
      </c>
      <c r="K52">
        <f>VLOOKUP($D52,UKdata!$A$2:$F$202,6,FALSE)</f>
        <v>0</v>
      </c>
      <c r="M52">
        <f>IF(J52="Holding",1,0)</f>
        <v>0</v>
      </c>
      <c r="N52">
        <f>IF(J52="Reserve",1,0)</f>
        <v>0</v>
      </c>
      <c r="O52">
        <f>IF(J52="Assault",1,0)</f>
        <v>0</v>
      </c>
      <c r="P52">
        <f>IF($M52&lt;&gt;0,SUM($M$5:$M52),0)</f>
        <v>0</v>
      </c>
      <c r="Q52">
        <f>IF($N52&lt;&gt;0,SUM($N$5:$N52)+15,0)</f>
        <v>0</v>
      </c>
      <c r="R52">
        <f>IF($O52&lt;&gt;0,SUM($O$6:$O52)+30,0)</f>
        <v>0</v>
      </c>
      <c r="S52">
        <f t="shared" si="18"/>
        <v>0</v>
      </c>
      <c r="T52">
        <f t="shared" si="18"/>
        <v>0</v>
      </c>
      <c r="U52">
        <f t="shared" si="18"/>
        <v>0</v>
      </c>
      <c r="V52" s="17" t="e">
        <f>VLOOKUP($D52,UKdata!$A$2:$F$49,6,FALSE)</f>
        <v>#N/A</v>
      </c>
    </row>
    <row r="53" spans="1:22" ht="12.75">
      <c r="A53" s="8">
        <f t="shared" si="8"/>
        <v>0</v>
      </c>
      <c r="C53" s="3">
        <v>0</v>
      </c>
      <c r="D53" s="3" t="s">
        <v>211</v>
      </c>
      <c r="E53">
        <f>VLOOKUP($D53,UKdata!$A$2:$E$202,2,FALSE)</f>
        <v>0</v>
      </c>
      <c r="F53">
        <f>IF($C53="Reg-8",VLOOKUP($D53,UKdata!$A$2:$E$202,3,FALSE),0)</f>
        <v>0</v>
      </c>
      <c r="G53">
        <f>IF($C53="Exp-8",VLOOKUP($D53,UKdata!$A$2:$E$202,4,FALSE),0)</f>
        <v>0</v>
      </c>
      <c r="H53">
        <f>IF($C53="Vet-9",VLOOKUP($D53,UKdata!$A$2:$E$202,5,FALSE),0)</f>
        <v>0</v>
      </c>
      <c r="I53">
        <f t="shared" si="16"/>
        <v>0</v>
      </c>
      <c r="J53" s="3"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>IF($M53&lt;&gt;0,SUM($M$5:$M53),0)</f>
        <v>0</v>
      </c>
      <c r="Q53">
        <f>IF($N53&lt;&gt;0,SUM($N$5:$N53)+15,0)</f>
        <v>0</v>
      </c>
      <c r="R53">
        <f>IF($O53&lt;&gt;0,SUM($O$6:$O53)+30,0)</f>
        <v>0</v>
      </c>
      <c r="S53">
        <f t="shared" si="13"/>
        <v>0</v>
      </c>
      <c r="T53">
        <f t="shared" si="13"/>
        <v>0</v>
      </c>
      <c r="U53">
        <f t="shared" si="13"/>
        <v>0</v>
      </c>
      <c r="V53" s="17"/>
    </row>
    <row r="54" spans="1:22" ht="12.75">
      <c r="A54" s="8">
        <f t="shared" si="8"/>
        <v>0</v>
      </c>
      <c r="C54" s="3">
        <v>0</v>
      </c>
      <c r="D54" s="3" t="s">
        <v>212</v>
      </c>
      <c r="E54">
        <f>VLOOKUP($D54,UKdata!$A$2:$E$202,2,FALSE)</f>
        <v>0</v>
      </c>
      <c r="F54">
        <f>IF($C54="Reg-8",VLOOKUP($D54,UKdata!$A$2:$E$49,3,FALSE),0)</f>
        <v>0</v>
      </c>
      <c r="G54">
        <f>IF($C54="Exp-8",VLOOKUP($D54,UKdata!$A$2:$E$49,4,FALSE),0)</f>
        <v>0</v>
      </c>
      <c r="H54">
        <f>IF($C54="Vet-9",VLOOKUP($D54,UKdata!$A$2:$E$202,5,FALSE),0)</f>
        <v>0</v>
      </c>
      <c r="I54">
        <f>SUM(F54:H54)</f>
        <v>0</v>
      </c>
      <c r="J54" s="3"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>IF($M54&lt;&gt;0,SUM($M$5:$M54),0)</f>
        <v>0</v>
      </c>
      <c r="Q54">
        <f>IF($N54&lt;&gt;0,SUM($N$5:$N54)+15,0)</f>
        <v>0</v>
      </c>
      <c r="R54">
        <f>IF($O54&lt;&gt;0,SUM($O$6:$O54)+30,0)</f>
        <v>0</v>
      </c>
      <c r="S54">
        <f t="shared" si="13"/>
        <v>0</v>
      </c>
      <c r="T54">
        <f t="shared" si="13"/>
        <v>0</v>
      </c>
      <c r="U54">
        <f t="shared" si="13"/>
        <v>0</v>
      </c>
      <c r="V54" s="17"/>
    </row>
    <row r="55" spans="3:22" ht="12.75">
      <c r="C55" s="3">
        <v>0</v>
      </c>
      <c r="D55" s="3" t="s">
        <v>200</v>
      </c>
      <c r="E55">
        <f>VLOOKUP($D55,UKdata!$A$2:$E$202,2,FALSE)</f>
        <v>0</v>
      </c>
      <c r="F55">
        <f>IF($C55="Reg-8",VLOOKUP($D55,UKdata!$A$2:$E$202,3,FALSE),0)</f>
        <v>0</v>
      </c>
      <c r="G55">
        <f>IF($C55="Exp-8",VLOOKUP($D55,UKdata!$A$2:$E$202,4,FALSE),0)</f>
        <v>0</v>
      </c>
      <c r="H55">
        <f>IF($C55="Vet-9",VLOOKUP($D55,UKdata!$A$2:$E$202,5,FALSE),0)</f>
        <v>0</v>
      </c>
      <c r="I55">
        <f>SUM(F55:H55)</f>
        <v>0</v>
      </c>
      <c r="J55" s="3"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>IF($M55&lt;&gt;0,SUM($M$5:$M55),0)</f>
        <v>0</v>
      </c>
      <c r="Q55">
        <f>IF($N55&lt;&gt;0,SUM($N$5:$N55)+15,0)</f>
        <v>0</v>
      </c>
      <c r="R55">
        <f>IF($O55&lt;&gt;0,SUM($O$6:$O55)+30,0)</f>
        <v>0</v>
      </c>
      <c r="S55">
        <f t="shared" si="13"/>
        <v>0</v>
      </c>
      <c r="T55">
        <f t="shared" si="13"/>
        <v>0</v>
      </c>
      <c r="U55">
        <f t="shared" si="13"/>
        <v>0</v>
      </c>
      <c r="V55" s="17"/>
    </row>
    <row r="56" spans="1:22" ht="15.75" hidden="1">
      <c r="A56" s="8" t="s">
        <v>26</v>
      </c>
      <c r="C56">
        <v>0</v>
      </c>
      <c r="D56" s="11">
        <f>IF(SUM(K15:K55)&lt;-1,"Error - Dedicated arty limited to HQ units",0)</f>
        <v>0</v>
      </c>
      <c r="J56"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>IF($M56&lt;&gt;0,SUM($M$5:$M56),0)</f>
        <v>0</v>
      </c>
      <c r="Q56">
        <f>IF($N56&lt;&gt;0,SUM($N$5:$N56)+15,0)</f>
        <v>0</v>
      </c>
      <c r="R56">
        <f>IF($O56&lt;&gt;0,SUM($O$6:$O56)+30,0)</f>
        <v>0</v>
      </c>
      <c r="S56">
        <f t="shared" si="13"/>
        <v>0</v>
      </c>
      <c r="T56">
        <f t="shared" si="13"/>
        <v>0</v>
      </c>
      <c r="U56">
        <f t="shared" si="13"/>
        <v>0</v>
      </c>
      <c r="V56" s="17"/>
    </row>
    <row r="57" spans="1:22" ht="12.75" hidden="1">
      <c r="A57" s="8" t="s">
        <v>27</v>
      </c>
      <c r="C57">
        <v>0</v>
      </c>
      <c r="J57"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>IF($M57&lt;&gt;0,SUM($M$5:$M57),0)</f>
        <v>0</v>
      </c>
      <c r="Q57">
        <f>IF($N57&lt;&gt;0,SUM($N$5:$N57)+15,0)</f>
        <v>0</v>
      </c>
      <c r="R57">
        <f>IF($O57&lt;&gt;0,SUM($O$6:$O57)+30,0)</f>
        <v>0</v>
      </c>
      <c r="S57">
        <f t="shared" si="13"/>
        <v>0</v>
      </c>
      <c r="T57">
        <f t="shared" si="13"/>
        <v>0</v>
      </c>
      <c r="U57">
        <f t="shared" si="13"/>
        <v>0</v>
      </c>
      <c r="V57" s="17"/>
    </row>
    <row r="58" spans="1:22" ht="16.5" customHeight="1" hidden="1">
      <c r="A58" s="8" t="s">
        <v>28</v>
      </c>
      <c r="J58"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>IF($M58&lt;&gt;0,SUM($M$5:$M58),0)</f>
        <v>0</v>
      </c>
      <c r="Q58">
        <f>IF($N58&lt;&gt;0,SUM($N$5:$N58)+15,0)</f>
        <v>0</v>
      </c>
      <c r="R58">
        <f>IF($O58&lt;&gt;0,SUM($O$6:$O58)+30,0)</f>
        <v>0</v>
      </c>
      <c r="S58">
        <f t="shared" si="13"/>
        <v>0</v>
      </c>
      <c r="T58">
        <f t="shared" si="13"/>
        <v>0</v>
      </c>
      <c r="U58">
        <f t="shared" si="13"/>
        <v>0</v>
      </c>
      <c r="V58" s="17"/>
    </row>
    <row r="59" spans="1:22" ht="16.5" customHeight="1" hidden="1">
      <c r="A59" s="8" t="s">
        <v>29</v>
      </c>
      <c r="J59">
        <v>0</v>
      </c>
      <c r="V59" s="17"/>
    </row>
    <row r="60" spans="1:22" ht="16.5" customHeight="1" hidden="1">
      <c r="A60" s="8" t="s">
        <v>30</v>
      </c>
      <c r="J60">
        <v>0</v>
      </c>
      <c r="V60" s="17"/>
    </row>
    <row r="61" spans="1:22" ht="16.5" customHeight="1" hidden="1">
      <c r="A61" s="8" t="s">
        <v>31</v>
      </c>
      <c r="J61">
        <v>0</v>
      </c>
      <c r="V61" s="17"/>
    </row>
    <row r="62" spans="1:22" ht="16.5" customHeight="1" hidden="1">
      <c r="A62" s="8" t="s">
        <v>32</v>
      </c>
      <c r="J62">
        <v>0</v>
      </c>
      <c r="V62" s="17"/>
    </row>
    <row r="63" spans="1:22" ht="16.5" customHeight="1" hidden="1">
      <c r="A63" s="8" t="s">
        <v>33</v>
      </c>
      <c r="J63">
        <v>0</v>
      </c>
      <c r="V63" s="17"/>
    </row>
    <row r="64" spans="1:22" ht="16.5" customHeight="1" hidden="1">
      <c r="A64" s="8" t="s">
        <v>34</v>
      </c>
      <c r="J64">
        <v>0</v>
      </c>
      <c r="V64" s="17"/>
    </row>
    <row r="65" spans="1:22" ht="16.5" customHeight="1" hidden="1">
      <c r="A65" s="8" t="s">
        <v>25</v>
      </c>
      <c r="J65">
        <v>0</v>
      </c>
      <c r="V65" s="17"/>
    </row>
    <row r="66" spans="1:22" ht="16.5" customHeight="1" hidden="1">
      <c r="A66" s="8" t="s">
        <v>24</v>
      </c>
      <c r="J66">
        <v>0</v>
      </c>
      <c r="V66" s="17"/>
    </row>
    <row r="67" spans="1:22" ht="16.5" customHeight="1" hidden="1">
      <c r="A67" s="8" t="s">
        <v>23</v>
      </c>
      <c r="J67">
        <v>0</v>
      </c>
      <c r="V67" s="17"/>
    </row>
    <row r="68" spans="1:22" ht="16.5" customHeight="1" hidden="1">
      <c r="A68" s="8" t="s">
        <v>22</v>
      </c>
      <c r="J68">
        <v>0</v>
      </c>
      <c r="V68" s="17"/>
    </row>
    <row r="69" spans="1:22" ht="16.5" customHeight="1" hidden="1">
      <c r="A69" s="8" t="s">
        <v>21</v>
      </c>
      <c r="V69" s="17"/>
    </row>
    <row r="70" spans="1:22" ht="16.5" customHeight="1" hidden="1">
      <c r="A70" s="8" t="s">
        <v>20</v>
      </c>
      <c r="V70" s="17"/>
    </row>
    <row r="71" spans="1:22" ht="16.5" customHeight="1" hidden="1">
      <c r="A71" s="8" t="s">
        <v>35</v>
      </c>
      <c r="V71" s="17"/>
    </row>
    <row r="72" spans="1:22" ht="16.5" customHeight="1" hidden="1">
      <c r="A72" s="8" t="s">
        <v>36</v>
      </c>
      <c r="V72" s="17"/>
    </row>
    <row r="73" spans="1:22" ht="16.5" customHeight="1" hidden="1">
      <c r="A73" s="8" t="s">
        <v>37</v>
      </c>
      <c r="V73" s="17"/>
    </row>
    <row r="74" spans="1:22" ht="16.5" customHeight="1" hidden="1">
      <c r="A74" s="8" t="s">
        <v>38</v>
      </c>
      <c r="V74" s="17"/>
    </row>
    <row r="75" spans="1:22" ht="16.5" customHeight="1" hidden="1">
      <c r="A75" s="8" t="s">
        <v>39</v>
      </c>
      <c r="V75" s="17"/>
    </row>
    <row r="76" spans="1:22" ht="16.5" customHeight="1" hidden="1">
      <c r="A76" s="8" t="s">
        <v>46</v>
      </c>
      <c r="V76" s="17"/>
    </row>
    <row r="77" spans="1:22" ht="16.5" customHeight="1" hidden="1">
      <c r="A77" s="8" t="s">
        <v>47</v>
      </c>
      <c r="V77" s="17"/>
    </row>
    <row r="78" spans="1:22" ht="16.5" customHeight="1" hidden="1">
      <c r="A78" s="8" t="s">
        <v>48</v>
      </c>
      <c r="V78" s="17"/>
    </row>
    <row r="79" spans="1:22" ht="16.5" customHeight="1" hidden="1">
      <c r="A79" s="8" t="s">
        <v>49</v>
      </c>
      <c r="V79" s="17"/>
    </row>
    <row r="80" spans="1:22" ht="16.5" customHeight="1" hidden="1">
      <c r="A80" s="8" t="s">
        <v>50</v>
      </c>
      <c r="V80" s="17"/>
    </row>
    <row r="81" spans="1:22" ht="16.5" customHeight="1" hidden="1">
      <c r="A81" s="8" t="s">
        <v>51</v>
      </c>
      <c r="V81" s="17"/>
    </row>
    <row r="82" spans="1:22" ht="16.5" customHeight="1" hidden="1">
      <c r="A82" s="8" t="s">
        <v>52</v>
      </c>
      <c r="V82" s="17"/>
    </row>
    <row r="83" spans="1:22" ht="16.5" customHeight="1" hidden="1">
      <c r="A83" s="8" t="s">
        <v>53</v>
      </c>
      <c r="V83" s="17"/>
    </row>
    <row r="84" spans="1:22" ht="16.5" customHeight="1" hidden="1">
      <c r="A84" s="8" t="s">
        <v>54</v>
      </c>
      <c r="V84" s="17"/>
    </row>
    <row r="85" spans="1:22" ht="16.5" customHeight="1" hidden="1">
      <c r="A85" s="8" t="s">
        <v>55</v>
      </c>
      <c r="V85" s="17"/>
    </row>
    <row r="86" spans="1:22" ht="16.5" customHeight="1" hidden="1">
      <c r="A86" s="8" t="s">
        <v>64</v>
      </c>
      <c r="V86" s="17"/>
    </row>
    <row r="87" spans="1:22" ht="16.5" customHeight="1" hidden="1">
      <c r="A87" s="8" t="s">
        <v>65</v>
      </c>
      <c r="V87" s="17"/>
    </row>
    <row r="88" spans="1:22" ht="16.5" customHeight="1" hidden="1">
      <c r="A88" s="8" t="s">
        <v>66</v>
      </c>
      <c r="V88" s="17"/>
    </row>
    <row r="89" spans="1:22" ht="16.5" customHeight="1" hidden="1">
      <c r="A89" s="8" t="s">
        <v>67</v>
      </c>
      <c r="V89" s="17"/>
    </row>
    <row r="90" spans="1:22" ht="16.5" customHeight="1" hidden="1">
      <c r="A90" s="8" t="s">
        <v>68</v>
      </c>
      <c r="V90" s="17"/>
    </row>
    <row r="91" spans="1:22" ht="16.5" customHeight="1" hidden="1">
      <c r="A91" s="8" t="s">
        <v>69</v>
      </c>
      <c r="V91" s="17"/>
    </row>
    <row r="92" spans="1:22" ht="16.5" customHeight="1" hidden="1">
      <c r="A92" s="8" t="s">
        <v>70</v>
      </c>
      <c r="V92" s="17"/>
    </row>
    <row r="93" spans="1:22" ht="16.5" customHeight="1" hidden="1">
      <c r="A93" s="8" t="s">
        <v>71</v>
      </c>
      <c r="V93" s="17"/>
    </row>
    <row r="94" spans="1:22" ht="16.5" customHeight="1" hidden="1">
      <c r="A94" s="8" t="s">
        <v>72</v>
      </c>
      <c r="V94" s="17"/>
    </row>
    <row r="95" spans="1:22" ht="16.5" customHeight="1" hidden="1">
      <c r="A95" s="8" t="s">
        <v>73</v>
      </c>
      <c r="V95" s="17"/>
    </row>
    <row r="96" spans="1:22" ht="16.5" customHeight="1" hidden="1">
      <c r="A96" s="8" t="s">
        <v>74</v>
      </c>
      <c r="V96" s="17"/>
    </row>
    <row r="97" spans="1:22" ht="16.5" customHeight="1" hidden="1">
      <c r="A97" s="8" t="s">
        <v>75</v>
      </c>
      <c r="V97" s="17"/>
    </row>
    <row r="98" spans="1:22" ht="16.5" customHeight="1" hidden="1">
      <c r="A98" s="8" t="s">
        <v>76</v>
      </c>
      <c r="V98" s="17"/>
    </row>
    <row r="99" spans="1:22" ht="16.5" customHeight="1" hidden="1">
      <c r="A99" s="8" t="s">
        <v>77</v>
      </c>
      <c r="V99" s="17"/>
    </row>
    <row r="100" spans="1:22" ht="16.5" customHeight="1" hidden="1">
      <c r="A100" s="8" t="s">
        <v>78</v>
      </c>
      <c r="V100" s="17"/>
    </row>
    <row r="101" spans="1:22" ht="16.5" customHeight="1" hidden="1">
      <c r="A101" s="8" t="s">
        <v>79</v>
      </c>
      <c r="V101" s="17"/>
    </row>
    <row r="102" spans="1:22" ht="16.5" customHeight="1" hidden="1">
      <c r="A102" s="8" t="s">
        <v>80</v>
      </c>
      <c r="V102" s="17"/>
    </row>
    <row r="103" spans="1:22" ht="16.5" customHeight="1">
      <c r="A103" s="8" t="s">
        <v>81</v>
      </c>
      <c r="V103" s="17"/>
    </row>
    <row r="104" spans="3:22" ht="16.5" customHeight="1">
      <c r="C104" s="21" t="s">
        <v>82</v>
      </c>
      <c r="V104" s="17"/>
    </row>
    <row r="105" spans="4:22" ht="18">
      <c r="D105" s="26" t="s">
        <v>43</v>
      </c>
      <c r="V105" s="17"/>
    </row>
    <row r="106" spans="1:22" ht="12.75">
      <c r="A106" s="8" t="s">
        <v>20</v>
      </c>
      <c r="C106">
        <f aca="true" t="shared" si="19" ref="C106:C120">VLOOKUP($A106,$A$2:$E$104,3,FALSE)</f>
        <v>0</v>
      </c>
      <c r="D106">
        <f aca="true" t="shared" si="20" ref="D106:D120">VLOOKUP($A106,$A$2:$E$104,4,FALSE)</f>
        <v>0</v>
      </c>
      <c r="E106">
        <f aca="true" t="shared" si="21" ref="E106:E120">VLOOKUP($A106,$A$2:$E$104,5,FALSE)</f>
        <v>0</v>
      </c>
      <c r="V106" s="17"/>
    </row>
    <row r="107" spans="1:22" ht="12.75">
      <c r="A107" s="8" t="s">
        <v>21</v>
      </c>
      <c r="C107" t="str">
        <f t="shared" si="19"/>
        <v>Reg-8</v>
      </c>
      <c r="D107" t="str">
        <f t="shared" si="20"/>
        <v>HQ:</v>
      </c>
      <c r="E107" t="str">
        <f t="shared" si="21"/>
        <v>Batt HQ: Cmd, car</v>
      </c>
      <c r="V107" s="17"/>
    </row>
    <row r="108" spans="1:22" ht="12.75">
      <c r="A108" s="8" t="s">
        <v>22</v>
      </c>
      <c r="C108">
        <f t="shared" si="19"/>
        <v>0</v>
      </c>
      <c r="D108" t="str">
        <f t="shared" si="20"/>
        <v>Batt HQCo</v>
      </c>
      <c r="E108" t="str">
        <f t="shared" si="21"/>
        <v>3" Mortar, LMG stand, 1 Engineer, 3 light trucks</v>
      </c>
      <c r="V108" s="17"/>
    </row>
    <row r="109" spans="1:22" ht="12.75">
      <c r="A109" s="8" t="s">
        <v>23</v>
      </c>
      <c r="C109">
        <f t="shared" si="19"/>
        <v>0</v>
      </c>
      <c r="D109" t="str">
        <f t="shared" si="20"/>
        <v>Reinforced Infantry co</v>
      </c>
      <c r="E109" t="str">
        <f t="shared" si="21"/>
        <v>Cmd/Inf/Piat stand, 2 Rifle stands</v>
      </c>
      <c r="V109" s="17"/>
    </row>
    <row r="110" spans="1:22" ht="12.75">
      <c r="A110" s="8" t="s">
        <v>24</v>
      </c>
      <c r="C110">
        <f t="shared" si="19"/>
        <v>0</v>
      </c>
      <c r="D110" t="str">
        <f t="shared" si="20"/>
        <v>Reinforced Infantry co</v>
      </c>
      <c r="E110" t="str">
        <f t="shared" si="21"/>
        <v>Cmd/Inf/Piat stand, 2 Rifle stands</v>
      </c>
      <c r="V110" s="17"/>
    </row>
    <row r="111" spans="1:22" ht="12.75">
      <c r="A111" s="8" t="s">
        <v>25</v>
      </c>
      <c r="C111">
        <f t="shared" si="19"/>
        <v>0</v>
      </c>
      <c r="D111" t="str">
        <f t="shared" si="20"/>
        <v>Reinforced Infantry co</v>
      </c>
      <c r="E111" t="str">
        <f t="shared" si="21"/>
        <v>Cmd/Inf/Piat stand, 2 Rifle stands</v>
      </c>
      <c r="V111" s="17"/>
    </row>
    <row r="112" spans="1:22" ht="12.75">
      <c r="A112" s="8" t="s">
        <v>26</v>
      </c>
      <c r="C112">
        <f t="shared" si="19"/>
        <v>0</v>
      </c>
      <c r="D112" t="str">
        <f t="shared" si="20"/>
        <v>AT platoon</v>
      </c>
      <c r="E112" t="str">
        <f t="shared" si="21"/>
        <v>1 37mm Bofors AT gun portee</v>
      </c>
      <c r="V112" s="17"/>
    </row>
    <row r="113" spans="1:22" ht="12.75">
      <c r="A113" s="8" t="s">
        <v>27</v>
      </c>
      <c r="C113">
        <f t="shared" si="19"/>
        <v>0</v>
      </c>
      <c r="D113">
        <f t="shared" si="20"/>
        <v>0</v>
      </c>
      <c r="E113">
        <f t="shared" si="21"/>
        <v>0</v>
      </c>
      <c r="V113" s="17"/>
    </row>
    <row r="114" spans="1:22" ht="12.75">
      <c r="A114" s="8" t="s">
        <v>28</v>
      </c>
      <c r="C114">
        <f t="shared" si="19"/>
        <v>0</v>
      </c>
      <c r="D114">
        <f t="shared" si="20"/>
        <v>0</v>
      </c>
      <c r="E114">
        <f t="shared" si="21"/>
        <v>0</v>
      </c>
      <c r="V114" s="17"/>
    </row>
    <row r="115" spans="1:22" ht="12.75">
      <c r="A115" s="8" t="s">
        <v>29</v>
      </c>
      <c r="C115">
        <f t="shared" si="19"/>
        <v>0</v>
      </c>
      <c r="D115">
        <f t="shared" si="20"/>
        <v>0</v>
      </c>
      <c r="E115">
        <f t="shared" si="21"/>
        <v>0</v>
      </c>
      <c r="V115" s="17"/>
    </row>
    <row r="116" spans="1:22" ht="12.75">
      <c r="A116" s="8" t="s">
        <v>30</v>
      </c>
      <c r="C116">
        <f t="shared" si="19"/>
        <v>0</v>
      </c>
      <c r="D116">
        <f t="shared" si="20"/>
        <v>0</v>
      </c>
      <c r="E116">
        <f t="shared" si="21"/>
        <v>0</v>
      </c>
      <c r="V116" s="17"/>
    </row>
    <row r="117" spans="1:22" ht="12.75">
      <c r="A117" s="8" t="s">
        <v>31</v>
      </c>
      <c r="C117">
        <f t="shared" si="19"/>
        <v>0</v>
      </c>
      <c r="D117">
        <f t="shared" si="20"/>
        <v>0</v>
      </c>
      <c r="E117">
        <f t="shared" si="21"/>
        <v>0</v>
      </c>
      <c r="V117" s="17"/>
    </row>
    <row r="118" spans="1:22" ht="12.75">
      <c r="A118" s="8" t="s">
        <v>32</v>
      </c>
      <c r="C118">
        <f t="shared" si="19"/>
        <v>0</v>
      </c>
      <c r="D118">
        <f t="shared" si="20"/>
        <v>0</v>
      </c>
      <c r="E118">
        <f t="shared" si="21"/>
        <v>0</v>
      </c>
      <c r="V118" s="17"/>
    </row>
    <row r="119" spans="1:22" ht="12.75">
      <c r="A119" s="8" t="s">
        <v>33</v>
      </c>
      <c r="C119">
        <f t="shared" si="19"/>
        <v>0</v>
      </c>
      <c r="D119">
        <f t="shared" si="20"/>
        <v>0</v>
      </c>
      <c r="E119">
        <f t="shared" si="21"/>
        <v>0</v>
      </c>
      <c r="V119" s="17"/>
    </row>
    <row r="120" spans="1:22" ht="12.75">
      <c r="A120" s="8" t="s">
        <v>34</v>
      </c>
      <c r="C120">
        <f t="shared" si="19"/>
        <v>0</v>
      </c>
      <c r="D120">
        <f t="shared" si="20"/>
        <v>0</v>
      </c>
      <c r="E120">
        <f t="shared" si="21"/>
        <v>0</v>
      </c>
      <c r="V120" s="17"/>
    </row>
    <row r="121" spans="4:22" ht="18">
      <c r="D121" s="26" t="s">
        <v>44</v>
      </c>
      <c r="V121" s="17"/>
    </row>
    <row r="122" spans="1:5" ht="12.75">
      <c r="A122" s="8" t="s">
        <v>35</v>
      </c>
      <c r="C122">
        <f aca="true" t="shared" si="22" ref="C122:C136">VLOOKUP($A122,$A$2:$E$104,3,FALSE)</f>
        <v>0</v>
      </c>
      <c r="D122">
        <f aca="true" t="shared" si="23" ref="D122:D136">VLOOKUP($A122,$A$2:$E$104,4,FALSE)</f>
        <v>0</v>
      </c>
      <c r="E122">
        <f aca="true" t="shared" si="24" ref="E122:E136">VLOOKUP($A122,$A$2:$E$104,5,FALSE)</f>
        <v>0</v>
      </c>
    </row>
    <row r="123" spans="1:5" ht="12.75">
      <c r="A123" s="8" t="s">
        <v>36</v>
      </c>
      <c r="C123">
        <f t="shared" si="22"/>
        <v>0</v>
      </c>
      <c r="D123">
        <f t="shared" si="23"/>
        <v>0</v>
      </c>
      <c r="E123">
        <f t="shared" si="24"/>
        <v>0</v>
      </c>
    </row>
    <row r="124" spans="1:5" ht="12.75">
      <c r="A124" s="8" t="s">
        <v>37</v>
      </c>
      <c r="C124">
        <f t="shared" si="22"/>
        <v>0</v>
      </c>
      <c r="D124">
        <f t="shared" si="23"/>
        <v>0</v>
      </c>
      <c r="E124">
        <f t="shared" si="24"/>
        <v>0</v>
      </c>
    </row>
    <row r="125" spans="1:5" ht="12.75">
      <c r="A125" s="8" t="s">
        <v>38</v>
      </c>
      <c r="C125">
        <f t="shared" si="22"/>
        <v>0</v>
      </c>
      <c r="D125">
        <f t="shared" si="23"/>
        <v>0</v>
      </c>
      <c r="E125">
        <f t="shared" si="24"/>
        <v>0</v>
      </c>
    </row>
    <row r="126" spans="1:5" ht="12.75">
      <c r="A126" s="8" t="s">
        <v>39</v>
      </c>
      <c r="C126">
        <f t="shared" si="22"/>
        <v>0</v>
      </c>
      <c r="D126">
        <f t="shared" si="23"/>
        <v>0</v>
      </c>
      <c r="E126">
        <f t="shared" si="24"/>
        <v>0</v>
      </c>
    </row>
    <row r="127" spans="1:5" ht="12.75">
      <c r="A127" s="8" t="s">
        <v>46</v>
      </c>
      <c r="C127">
        <f t="shared" si="22"/>
        <v>0</v>
      </c>
      <c r="D127">
        <f t="shared" si="23"/>
        <v>0</v>
      </c>
      <c r="E127">
        <f t="shared" si="24"/>
        <v>0</v>
      </c>
    </row>
    <row r="128" spans="1:5" ht="12.75">
      <c r="A128" s="8" t="s">
        <v>47</v>
      </c>
      <c r="C128">
        <f t="shared" si="22"/>
        <v>0</v>
      </c>
      <c r="D128">
        <f t="shared" si="23"/>
        <v>0</v>
      </c>
      <c r="E128">
        <f t="shared" si="24"/>
        <v>0</v>
      </c>
    </row>
    <row r="129" spans="1:5" ht="12.75">
      <c r="A129" s="8" t="s">
        <v>48</v>
      </c>
      <c r="C129">
        <f t="shared" si="22"/>
        <v>0</v>
      </c>
      <c r="D129">
        <f t="shared" si="23"/>
        <v>0</v>
      </c>
      <c r="E129">
        <f t="shared" si="24"/>
        <v>0</v>
      </c>
    </row>
    <row r="130" spans="1:5" ht="12.75">
      <c r="A130" s="8" t="s">
        <v>49</v>
      </c>
      <c r="C130">
        <f t="shared" si="22"/>
        <v>0</v>
      </c>
      <c r="D130">
        <f t="shared" si="23"/>
        <v>0</v>
      </c>
      <c r="E130">
        <f t="shared" si="24"/>
        <v>0</v>
      </c>
    </row>
    <row r="131" spans="1:5" ht="12.75">
      <c r="A131" s="8" t="s">
        <v>50</v>
      </c>
      <c r="C131">
        <f t="shared" si="22"/>
        <v>0</v>
      </c>
      <c r="D131">
        <f t="shared" si="23"/>
        <v>0</v>
      </c>
      <c r="E131">
        <f t="shared" si="24"/>
        <v>0</v>
      </c>
    </row>
    <row r="132" spans="1:5" ht="12.75">
      <c r="A132" s="8" t="s">
        <v>51</v>
      </c>
      <c r="C132">
        <f t="shared" si="22"/>
        <v>0</v>
      </c>
      <c r="D132">
        <f t="shared" si="23"/>
        <v>0</v>
      </c>
      <c r="E132">
        <f t="shared" si="24"/>
        <v>0</v>
      </c>
    </row>
    <row r="133" spans="1:5" ht="12.75">
      <c r="A133" s="8" t="s">
        <v>52</v>
      </c>
      <c r="C133">
        <f t="shared" si="22"/>
        <v>0</v>
      </c>
      <c r="D133">
        <f t="shared" si="23"/>
        <v>0</v>
      </c>
      <c r="E133">
        <f t="shared" si="24"/>
        <v>0</v>
      </c>
    </row>
    <row r="134" spans="1:5" ht="12.75">
      <c r="A134" s="8" t="s">
        <v>53</v>
      </c>
      <c r="C134">
        <f t="shared" si="22"/>
        <v>0</v>
      </c>
      <c r="D134">
        <f t="shared" si="23"/>
        <v>0</v>
      </c>
      <c r="E134">
        <f t="shared" si="24"/>
        <v>0</v>
      </c>
    </row>
    <row r="135" spans="1:5" ht="12.75">
      <c r="A135" s="8" t="s">
        <v>54</v>
      </c>
      <c r="C135">
        <f t="shared" si="22"/>
        <v>0</v>
      </c>
      <c r="D135">
        <f t="shared" si="23"/>
        <v>0</v>
      </c>
      <c r="E135">
        <f t="shared" si="24"/>
        <v>0</v>
      </c>
    </row>
    <row r="136" spans="1:5" ht="12.75">
      <c r="A136" s="8" t="s">
        <v>55</v>
      </c>
      <c r="C136">
        <f t="shared" si="22"/>
        <v>0</v>
      </c>
      <c r="D136">
        <f t="shared" si="23"/>
        <v>0</v>
      </c>
      <c r="E136">
        <f t="shared" si="24"/>
        <v>0</v>
      </c>
    </row>
    <row r="137" ht="18">
      <c r="D137" s="26" t="s">
        <v>45</v>
      </c>
    </row>
    <row r="138" spans="1:5" ht="12.75">
      <c r="A138" s="8" t="s">
        <v>64</v>
      </c>
      <c r="C138">
        <f aca="true" t="shared" si="25" ref="C138:C152">VLOOKUP($A138,$A$2:$E$104,3,FALSE)</f>
        <v>0</v>
      </c>
      <c r="D138">
        <f aca="true" t="shared" si="26" ref="D138:D152">VLOOKUP($A138,$A$2:$E$104,4,FALSE)</f>
        <v>0</v>
      </c>
      <c r="E138">
        <f aca="true" t="shared" si="27" ref="E138:E152">VLOOKUP($A138,$A$2:$E$104,5,FALSE)</f>
        <v>0</v>
      </c>
    </row>
    <row r="139" spans="1:5" ht="12.75">
      <c r="A139" s="8" t="s">
        <v>65</v>
      </c>
      <c r="C139">
        <f t="shared" si="25"/>
        <v>0</v>
      </c>
      <c r="D139">
        <f t="shared" si="26"/>
        <v>0</v>
      </c>
      <c r="E139">
        <f t="shared" si="27"/>
        <v>0</v>
      </c>
    </row>
    <row r="140" spans="1:5" ht="12.75">
      <c r="A140" s="8" t="s">
        <v>66</v>
      </c>
      <c r="C140">
        <f t="shared" si="25"/>
        <v>0</v>
      </c>
      <c r="D140">
        <f t="shared" si="26"/>
        <v>0</v>
      </c>
      <c r="E140">
        <f t="shared" si="27"/>
        <v>0</v>
      </c>
    </row>
    <row r="141" spans="1:5" ht="12.75">
      <c r="A141" s="8" t="s">
        <v>67</v>
      </c>
      <c r="C141">
        <f t="shared" si="25"/>
        <v>0</v>
      </c>
      <c r="D141">
        <f t="shared" si="26"/>
        <v>0</v>
      </c>
      <c r="E141">
        <f t="shared" si="27"/>
        <v>0</v>
      </c>
    </row>
    <row r="142" spans="1:5" ht="12.75">
      <c r="A142" s="8" t="s">
        <v>68</v>
      </c>
      <c r="C142">
        <f t="shared" si="25"/>
        <v>0</v>
      </c>
      <c r="D142">
        <f t="shared" si="26"/>
        <v>0</v>
      </c>
      <c r="E142">
        <f t="shared" si="27"/>
        <v>0</v>
      </c>
    </row>
    <row r="143" spans="1:5" ht="12.75">
      <c r="A143" s="8" t="s">
        <v>69</v>
      </c>
      <c r="C143">
        <f t="shared" si="25"/>
        <v>0</v>
      </c>
      <c r="D143">
        <f t="shared" si="26"/>
        <v>0</v>
      </c>
      <c r="E143">
        <f t="shared" si="27"/>
        <v>0</v>
      </c>
    </row>
    <row r="144" spans="1:5" ht="12.75">
      <c r="A144" s="8" t="s">
        <v>70</v>
      </c>
      <c r="C144">
        <f t="shared" si="25"/>
        <v>0</v>
      </c>
      <c r="D144">
        <f t="shared" si="26"/>
        <v>0</v>
      </c>
      <c r="E144">
        <f t="shared" si="27"/>
        <v>0</v>
      </c>
    </row>
    <row r="145" spans="1:5" ht="12.75">
      <c r="A145" s="8" t="s">
        <v>71</v>
      </c>
      <c r="C145">
        <f t="shared" si="25"/>
        <v>0</v>
      </c>
      <c r="D145">
        <f t="shared" si="26"/>
        <v>0</v>
      </c>
      <c r="E145">
        <f t="shared" si="27"/>
        <v>0</v>
      </c>
    </row>
    <row r="146" spans="1:5" ht="12.75">
      <c r="A146" s="8" t="s">
        <v>72</v>
      </c>
      <c r="C146">
        <f t="shared" si="25"/>
        <v>0</v>
      </c>
      <c r="D146">
        <f t="shared" si="26"/>
        <v>0</v>
      </c>
      <c r="E146">
        <f t="shared" si="27"/>
        <v>0</v>
      </c>
    </row>
    <row r="147" spans="1:5" ht="12.75">
      <c r="A147" s="8" t="s">
        <v>73</v>
      </c>
      <c r="C147">
        <f t="shared" si="25"/>
        <v>0</v>
      </c>
      <c r="D147">
        <f t="shared" si="26"/>
        <v>0</v>
      </c>
      <c r="E147">
        <f t="shared" si="27"/>
        <v>0</v>
      </c>
    </row>
    <row r="148" spans="1:5" ht="12.75">
      <c r="A148" s="8" t="s">
        <v>74</v>
      </c>
      <c r="C148">
        <f t="shared" si="25"/>
        <v>0</v>
      </c>
      <c r="D148">
        <f t="shared" si="26"/>
        <v>0</v>
      </c>
      <c r="E148">
        <f t="shared" si="27"/>
        <v>0</v>
      </c>
    </row>
    <row r="149" spans="1:5" ht="12.75">
      <c r="A149" s="8" t="s">
        <v>75</v>
      </c>
      <c r="C149">
        <f t="shared" si="25"/>
        <v>0</v>
      </c>
      <c r="D149">
        <f t="shared" si="26"/>
        <v>0</v>
      </c>
      <c r="E149">
        <f t="shared" si="27"/>
        <v>0</v>
      </c>
    </row>
    <row r="150" spans="1:5" ht="12.75">
      <c r="A150" s="8" t="s">
        <v>76</v>
      </c>
      <c r="C150">
        <f t="shared" si="25"/>
        <v>0</v>
      </c>
      <c r="D150">
        <f t="shared" si="26"/>
        <v>0</v>
      </c>
      <c r="E150">
        <f t="shared" si="27"/>
        <v>0</v>
      </c>
    </row>
    <row r="151" spans="1:5" ht="12.75">
      <c r="A151" s="8" t="s">
        <v>77</v>
      </c>
      <c r="C151">
        <f t="shared" si="25"/>
        <v>0</v>
      </c>
      <c r="D151">
        <f t="shared" si="26"/>
        <v>0</v>
      </c>
      <c r="E151">
        <f t="shared" si="27"/>
        <v>0</v>
      </c>
    </row>
    <row r="152" spans="1:5" ht="12.75">
      <c r="A152" s="8" t="s">
        <v>78</v>
      </c>
      <c r="C152">
        <f t="shared" si="25"/>
        <v>0</v>
      </c>
      <c r="D152">
        <f t="shared" si="26"/>
        <v>0</v>
      </c>
      <c r="E152">
        <f t="shared" si="27"/>
        <v>0</v>
      </c>
    </row>
  </sheetData>
  <dataValidations count="24">
    <dataValidation type="list" allowBlank="1" showInputMessage="1" showErrorMessage="1" prompt="&#10;" sqref="J47:J55 J27:J34 J14:J15 J18:J24 J37:J41 J44">
      <formula1>force</formula1>
    </dataValidation>
    <dataValidation type="list" allowBlank="1" showInputMessage="1" showErrorMessage="1" sqref="D47:D49">
      <formula1>art1</formula1>
    </dataValidation>
    <dataValidation type="list" allowBlank="1" showInputMessage="1" showErrorMessage="1" sqref="D50:D52">
      <formula1>art2</formula1>
    </dataValidation>
    <dataValidation type="list" allowBlank="1" showInputMessage="1" showErrorMessage="1" sqref="D53">
      <formula1>art3</formula1>
    </dataValidation>
    <dataValidation type="list" allowBlank="1" showInputMessage="1" showErrorMessage="1" sqref="D54">
      <formula1>art4</formula1>
    </dataValidation>
    <dataValidation type="list" allowBlank="1" showInputMessage="1" showErrorMessage="1" sqref="D55">
      <formula1>art5</formula1>
    </dataValidation>
    <dataValidation type="list" allowBlank="1" showInputMessage="1" showErrorMessage="1" sqref="D44">
      <formula1>divcav</formula1>
    </dataValidation>
    <dataValidation type="list" allowBlank="1" showInputMessage="1" showErrorMessage="1" sqref="C44 C27:C34 E5 C15 C18:C24 C37:C41">
      <formula1>qu1</formula1>
    </dataValidation>
    <dataValidation type="list" allowBlank="1" showInputMessage="1" showErrorMessage="1" sqref="D40:D41">
      <formula1>tpl</formula1>
    </dataValidation>
    <dataValidation type="list" allowBlank="1" showInputMessage="1" showErrorMessage="1" sqref="D37">
      <formula1>tbat</formula1>
    </dataValidation>
    <dataValidation type="list" allowBlank="1" showInputMessage="1" showErrorMessage="1" sqref="D29:D30">
      <formula1>att</formula1>
    </dataValidation>
    <dataValidation type="list" allowBlank="1" showInputMessage="1" showErrorMessage="1" sqref="D27:D28">
      <formula1>atb</formula1>
    </dataValidation>
    <dataValidation type="list" allowBlank="1" showInputMessage="1" showErrorMessage="1" sqref="D23:D24">
      <formula1>ucar</formula1>
    </dataValidation>
    <dataValidation type="list" allowBlank="1" showInputMessage="1" showErrorMessage="1" prompt="Max: 1 co per infantry co" sqref="D22">
      <formula1>trco</formula1>
    </dataValidation>
    <dataValidation type="list" allowBlank="1" showInputMessage="1" showErrorMessage="1" sqref="D18:D21">
      <formula1>inco</formula1>
    </dataValidation>
    <dataValidation type="list" allowBlank="1" showInputMessage="1" showErrorMessage="1" sqref="D14">
      <formula1>Brig</formula1>
    </dataValidation>
    <dataValidation type="list" allowBlank="1" showInputMessage="1" showErrorMessage="1" sqref="D8:D10">
      <formula1>inco3</formula1>
    </dataValidation>
    <dataValidation type="list" allowBlank="1" showInputMessage="1" showErrorMessage="1" prompt="Select Force for entire Core Battle Group&#10;" sqref="J5">
      <formula1>hhh</formula1>
    </dataValidation>
    <dataValidation type="list" allowBlank="1" showInputMessage="1" showErrorMessage="1" sqref="D15">
      <formula1>batt2k</formula1>
    </dataValidation>
    <dataValidation type="list" allowBlank="1" showInputMessage="1" showErrorMessage="1" sqref="D38:D39">
      <formula1>tsq</formula1>
    </dataValidation>
    <dataValidation type="list" allowBlank="1" showInputMessage="1" showErrorMessage="1" sqref="D31">
      <formula1>engco</formula1>
    </dataValidation>
    <dataValidation type="list" allowBlank="1" showInputMessage="1" showErrorMessage="1" sqref="D32">
      <formula1>engpl</formula1>
    </dataValidation>
    <dataValidation type="list" allowBlank="1" showInputMessage="1" showErrorMessage="1" sqref="D33">
      <formula1>mgco</formula1>
    </dataValidation>
    <dataValidation type="list" allowBlank="1" showInputMessage="1" showErrorMessage="1" sqref="D34">
      <formula1>aaco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147"/>
  <sheetViews>
    <sheetView showZeros="0" tabSelected="1" workbookViewId="0" topLeftCell="A1">
      <pane ySplit="3" topLeftCell="BM126" activePane="bottomLeft" state="frozen"/>
      <selection pane="topLeft" activeCell="B1" sqref="B1"/>
      <selection pane="bottomLeft" activeCell="J38" sqref="J38"/>
    </sheetView>
  </sheetViews>
  <sheetFormatPr defaultColWidth="9.140625" defaultRowHeight="12.75"/>
  <cols>
    <col min="1" max="1" width="3.8515625" style="8" hidden="1" customWidth="1"/>
    <col min="2" max="2" width="4.421875" style="0" customWidth="1"/>
    <col min="3" max="3" width="6.7109375" style="0" customWidth="1"/>
    <col min="4" max="4" width="38.28125" style="0" customWidth="1"/>
    <col min="5" max="5" width="57.7109375" style="0" customWidth="1"/>
    <col min="6" max="8" width="11.57421875" style="0" hidden="1" customWidth="1"/>
    <col min="9" max="9" width="8.00390625" style="0" customWidth="1"/>
    <col min="10" max="10" width="10.7109375" style="0" customWidth="1"/>
    <col min="11" max="11" width="8.28125" style="0" customWidth="1"/>
    <col min="12" max="21" width="11.140625" style="0" hidden="1" customWidth="1"/>
    <col min="22" max="22" width="6.140625" style="0" bestFit="1" customWidth="1"/>
  </cols>
  <sheetData>
    <row r="1" spans="4:23" ht="18">
      <c r="D1" s="1" t="s">
        <v>310</v>
      </c>
      <c r="E1" s="9" t="s">
        <v>56</v>
      </c>
      <c r="G1" s="10"/>
      <c r="H1" s="11">
        <f>IF(F1&gt;G1,"Error!",0)</f>
        <v>0</v>
      </c>
      <c r="I1">
        <f>SUM($S$2:$S$53)</f>
        <v>570</v>
      </c>
      <c r="J1" s="10">
        <v>525</v>
      </c>
      <c r="K1" s="11" t="str">
        <f>IF(I1&gt;J1,"Error!",0)</f>
        <v>Error!</v>
      </c>
      <c r="M1" t="s">
        <v>57</v>
      </c>
      <c r="N1" t="s">
        <v>58</v>
      </c>
      <c r="O1" t="s">
        <v>59</v>
      </c>
      <c r="P1" t="s">
        <v>57</v>
      </c>
      <c r="Q1" t="s">
        <v>58</v>
      </c>
      <c r="R1" t="s">
        <v>59</v>
      </c>
      <c r="S1" t="s">
        <v>57</v>
      </c>
      <c r="T1" t="s">
        <v>58</v>
      </c>
      <c r="U1" t="s">
        <v>59</v>
      </c>
      <c r="V1" s="12" t="s">
        <v>60</v>
      </c>
      <c r="W1" s="5">
        <f>SUM($I13:$I50)+$I5</f>
        <v>1455</v>
      </c>
    </row>
    <row r="2" spans="5:11" ht="15.75">
      <c r="E2" s="9" t="s">
        <v>41</v>
      </c>
      <c r="G2" s="10"/>
      <c r="H2" s="11">
        <f>IF((F1+F2)&gt;(G1+G2),"Error!",0)</f>
        <v>0</v>
      </c>
      <c r="I2">
        <f>SUM($T$2:$T$53)</f>
        <v>425</v>
      </c>
      <c r="J2" s="10">
        <v>450</v>
      </c>
      <c r="K2" s="11" t="str">
        <f>IF(I1+I2&gt;J1+J2,"Error!",0)</f>
        <v>Error!</v>
      </c>
    </row>
    <row r="3" spans="5:10" ht="12.75">
      <c r="E3" s="9" t="s">
        <v>42</v>
      </c>
      <c r="G3" s="10"/>
      <c r="I3">
        <f>SUM($U$2:$U$53)</f>
        <v>460</v>
      </c>
      <c r="J3" s="10">
        <v>450</v>
      </c>
    </row>
    <row r="4" ht="12.75">
      <c r="C4" s="13" t="s">
        <v>4</v>
      </c>
    </row>
    <row r="5" spans="1:22" ht="12.75">
      <c r="A5" s="8" t="str">
        <f aca="true" t="shared" si="0" ref="A5:A10">IF(M5=1,"Ord"&amp;P5,IF(N5=1,"Ord"&amp;Q5,IF(O5=1,"Ord"&amp;R5,IF(I5&gt;0,"E",0))))</f>
        <v>Ord</v>
      </c>
      <c r="C5" s="14" t="str">
        <f>E5</f>
        <v>Vet-9</v>
      </c>
      <c r="E5" s="15" t="s">
        <v>3</v>
      </c>
      <c r="F5" s="16" t="str">
        <f>E5</f>
        <v>Vet-9</v>
      </c>
      <c r="I5">
        <f>VLOOKUP($F$5,UKdata!$A2:$D4,4,FALSE)+SUM(I6:I10)</f>
        <v>570</v>
      </c>
      <c r="J5" s="3" t="s">
        <v>40</v>
      </c>
      <c r="M5">
        <f>IF(J5="Holding",1,0)</f>
        <v>1</v>
      </c>
      <c r="N5">
        <f>IF(J5="Reserve",1,0)</f>
        <v>0</v>
      </c>
      <c r="O5">
        <f>IF(J5="Assault",1,0)</f>
        <v>0</v>
      </c>
      <c r="S5">
        <f>IF(M5&gt;0,$I5,0)</f>
        <v>570</v>
      </c>
      <c r="T5">
        <f>IF(N5&gt;0,$I5,0)</f>
        <v>0</v>
      </c>
      <c r="U5">
        <f>IF(O5&gt;0,$I5,0)</f>
        <v>0</v>
      </c>
      <c r="V5" s="17"/>
    </row>
    <row r="6" spans="1:22" ht="12.75">
      <c r="A6" s="8" t="str">
        <f t="shared" si="0"/>
        <v>Ord2</v>
      </c>
      <c r="C6" s="17" t="str">
        <f>E5</f>
        <v>Vet-9</v>
      </c>
      <c r="D6" s="23" t="s">
        <v>222</v>
      </c>
      <c r="E6" t="str">
        <f>VLOOKUP($D6,UKdata!$A$2:$E$402,2,FALSE)</f>
        <v>1 Cmd/A13</v>
      </c>
      <c r="F6">
        <f>IF($E$5="Reg-8",VLOOKUP($D6,UKdata!$A$2:$E$402,3,FALSE),0)</f>
        <v>0</v>
      </c>
      <c r="G6">
        <f>IF($E$5="Exp-8",VLOOKUP($D6,UKdata!$A$2:$E$402,4,FALSE),0)</f>
        <v>0</v>
      </c>
      <c r="H6">
        <f>IF($E$5="Vet-9",VLOOKUP($D6,UKdata!$A$2:$E$402,4,FALSE),0)</f>
        <v>25</v>
      </c>
      <c r="I6">
        <f>SUM(F6:H6)</f>
        <v>25</v>
      </c>
      <c r="J6" s="27">
        <v>0</v>
      </c>
      <c r="M6">
        <f>IF($J$5=0,IF(J6="Holding",1,0),IF($J$5="Holding",1,0))</f>
        <v>1</v>
      </c>
      <c r="N6">
        <f>IF($J$5=0,IF(J6="Reserve",1,0),IF($J$5="Reserve",1,0))</f>
        <v>0</v>
      </c>
      <c r="O6">
        <f>IF($J$5=0,IF(K6="Assault",1,0),IF($J$5="Assault",1,0))</f>
        <v>0</v>
      </c>
      <c r="P6">
        <f>IF($M6&lt;&gt;0,SUM($M$5:$M6),0)</f>
        <v>2</v>
      </c>
      <c r="Q6">
        <f>IF($N6&lt;&gt;0,SUM($N$5:$N6)+15,0)</f>
        <v>0</v>
      </c>
      <c r="R6">
        <f>IF($O6&lt;&gt;0,SUM($O$6:$O6)+30,0)</f>
        <v>0</v>
      </c>
      <c r="S6">
        <f>IF($S$5=0,IF(M6&gt;0,$I6,0),0)</f>
        <v>0</v>
      </c>
      <c r="T6">
        <f>IF($T$5=0,IF(N6&gt;0,$I6,0),0)</f>
        <v>0</v>
      </c>
      <c r="U6">
        <f aca="true" t="shared" si="1" ref="U6:U11">IF($U$5=0,IF(O6&gt;0,$I6,0),0)</f>
        <v>0</v>
      </c>
      <c r="V6" s="17"/>
    </row>
    <row r="7" spans="1:22" ht="12.75">
      <c r="A7" s="8" t="str">
        <f t="shared" si="0"/>
        <v>Ord3</v>
      </c>
      <c r="D7" s="23" t="s">
        <v>227</v>
      </c>
      <c r="E7" t="str">
        <f>VLOOKUP($D7,UKdata!$A$2:$E$402,2,FALSE)</f>
        <v>1 A10 CS tank</v>
      </c>
      <c r="F7">
        <f>IF($E$5="Reg-8",VLOOKUP($D7,UKdata!$A$2:$E$402,3,FALSE),0)</f>
        <v>0</v>
      </c>
      <c r="G7">
        <f>IF($E$5="Exp-8",VLOOKUP($D7,UKdata!$A$2:$E$402,4,FALSE),0)</f>
        <v>0</v>
      </c>
      <c r="H7">
        <f>IF($E$5="Vet-9",VLOOKUP($D7,UKdata!$A$2:$E$402,4,FALSE),0)</f>
        <v>20</v>
      </c>
      <c r="J7" s="27">
        <v>0</v>
      </c>
      <c r="M7">
        <f>IF($J$5=0,IF(J7="Holding",1,0),IF($J$5="Holding",1,0))</f>
        <v>1</v>
      </c>
      <c r="N7">
        <f>IF($J$5=0,IF(J7="Reserve",1,0),IF($J$5="Reserve",1,0))</f>
        <v>0</v>
      </c>
      <c r="O7">
        <f>IF($J$5=0,IF(K7="Assault",1,0),IF($J$5="Assault",1,0))</f>
        <v>0</v>
      </c>
      <c r="P7">
        <f>IF($M7&lt;&gt;0,SUM($M$5:$M7),0)</f>
        <v>3</v>
      </c>
      <c r="Q7">
        <f>IF($N7&lt;&gt;0,SUM($N$5:$N7)+15,0)</f>
        <v>0</v>
      </c>
      <c r="R7">
        <f>IF($O7&lt;&gt;0,SUM($O$6:$O7)+30,0)</f>
        <v>0</v>
      </c>
      <c r="S7">
        <f>IF($S$5=0,IF(M7&gt;0,$I7,0),0)</f>
        <v>0</v>
      </c>
      <c r="T7">
        <f>IF($T$5=0,IF(N7&gt;0,$I7,0),0)</f>
        <v>0</v>
      </c>
      <c r="U7">
        <f t="shared" si="1"/>
        <v>0</v>
      </c>
      <c r="V7" s="17">
        <v>1</v>
      </c>
    </row>
    <row r="8" spans="1:22" ht="12.75">
      <c r="A8" s="8" t="str">
        <f t="shared" si="0"/>
        <v>Ord4</v>
      </c>
      <c r="D8" s="19" t="s">
        <v>314</v>
      </c>
      <c r="E8" t="str">
        <f>VLOOKUP($D8,UKdata!$A$2:$E$402,2,FALSE)</f>
        <v>1 Cmd/A13, 1 A13</v>
      </c>
      <c r="F8">
        <f>IF($E$5="Reg-8",VLOOKUP($D8,UKdata!$A$2:$E$402,3,FALSE),0)</f>
        <v>0</v>
      </c>
      <c r="G8">
        <f>IF($E$5="Exp-8",VLOOKUP($D8,UKdata!$A$2:$E$402,4,FALSE),0)</f>
        <v>0</v>
      </c>
      <c r="H8">
        <f>IF($E$5="Vet-9",VLOOKUP($D8,UKdata!$A$2:$E$402,4,FALSE),0)</f>
        <v>10</v>
      </c>
      <c r="I8">
        <f>SUM(F8:H8)</f>
        <v>10</v>
      </c>
      <c r="J8" s="27">
        <v>0</v>
      </c>
      <c r="M8">
        <f>IF($J$5=0,IF(J8="Holding",1,0),IF($J$5="Holding",1,0))</f>
        <v>1</v>
      </c>
      <c r="N8">
        <f>IF($J$5=0,IF(J8="Reserve",1,0),IF($J$5="Reserve",1,0))</f>
        <v>0</v>
      </c>
      <c r="O8">
        <f>IF($J$5=0,IF(K8="Assault",1,0),IF($J$5="Assault",1,0))</f>
        <v>0</v>
      </c>
      <c r="P8">
        <f>IF($M8&lt;&gt;0,SUM($M$5:$M8),0)</f>
        <v>4</v>
      </c>
      <c r="Q8">
        <f>IF($N8&lt;&gt;0,SUM($N$5:$N8)+15,0)</f>
        <v>0</v>
      </c>
      <c r="R8">
        <f>IF($O8&lt;&gt;0,SUM($O$6:$O8)+30,0)</f>
        <v>0</v>
      </c>
      <c r="S8">
        <f>IF($S$5=0,IF(M8&gt;0,$I8,0),0)</f>
        <v>0</v>
      </c>
      <c r="T8">
        <f>IF($T$5=0,IF(N8&gt;0,$I8,0),0)</f>
        <v>0</v>
      </c>
      <c r="U8">
        <f t="shared" si="1"/>
        <v>0</v>
      </c>
      <c r="V8" s="17"/>
    </row>
    <row r="9" spans="1:22" ht="12.75">
      <c r="A9" s="8" t="str">
        <f t="shared" si="0"/>
        <v>Ord5</v>
      </c>
      <c r="D9" s="19" t="s">
        <v>314</v>
      </c>
      <c r="E9" t="str">
        <f>VLOOKUP($D9,UKdata!$A$2:$E$402,2,FALSE)</f>
        <v>1 Cmd/A13, 1 A13</v>
      </c>
      <c r="F9">
        <f>IF($E$5="Reg-8",VLOOKUP($D9,UKdata!$A$2:$E$402,3,FALSE),0)</f>
        <v>0</v>
      </c>
      <c r="G9">
        <f>IF($E$5="Exp-8",VLOOKUP($D9,UKdata!$A$2:$E$402,4,FALSE),0)</f>
        <v>0</v>
      </c>
      <c r="H9">
        <f>IF(G8="Vet-9",VLOOKUP($D9,UKdata!$A$2:$E$402,4,FALSE),0)</f>
        <v>0</v>
      </c>
      <c r="I9">
        <f>SUM(F9:H9)</f>
        <v>0</v>
      </c>
      <c r="J9" s="27">
        <v>0</v>
      </c>
      <c r="M9">
        <f>IF($J$5=0,IF(J9="Holding",1,0),IF($J$5="Holding",1,0))</f>
        <v>1</v>
      </c>
      <c r="N9">
        <f>IF($J$5=0,IF(J9="Reserve",1,0),IF($J$5="Reserve",1,0))</f>
        <v>0</v>
      </c>
      <c r="O9">
        <f>IF($J$5=0,IF(K9="Assault",1,0),IF($J$5="Assault",1,0))</f>
        <v>0</v>
      </c>
      <c r="P9">
        <f>IF($M9&lt;&gt;0,SUM($M$5:$M9),0)</f>
        <v>5</v>
      </c>
      <c r="Q9">
        <f>IF($N9&lt;&gt;0,SUM($N$5:$N9)+15,0)</f>
        <v>0</v>
      </c>
      <c r="R9">
        <f>IF($O9&lt;&gt;0,SUM($O$6:$O9)+30,0)</f>
        <v>0</v>
      </c>
      <c r="S9">
        <f>IF($S$5=0,IF(M9&gt;0,$I9,0),0)</f>
        <v>0</v>
      </c>
      <c r="T9">
        <f>IF($T$5=0,IF(N9&gt;0,$I9,0),0)</f>
        <v>0</v>
      </c>
      <c r="U9">
        <f t="shared" si="1"/>
        <v>0</v>
      </c>
      <c r="V9" s="17"/>
    </row>
    <row r="10" spans="1:22" ht="12.75">
      <c r="A10" s="8" t="str">
        <f t="shared" si="0"/>
        <v>Ord6</v>
      </c>
      <c r="D10" s="19" t="s">
        <v>251</v>
      </c>
      <c r="E10" t="str">
        <f>VLOOKUP($D10,UKdata!$A$2:$E$402,2,FALSE)</f>
        <v>1 Cmd/A13, 1 A13</v>
      </c>
      <c r="F10">
        <f>IF($E$5="Reg-8",VLOOKUP($D10,UKdata!$A$2:$E$402,3,FALSE),0)</f>
        <v>0</v>
      </c>
      <c r="G10">
        <f>IF($E$5="Exp-8",VLOOKUP($D10,UKdata!$A$2:$E$402,4,FALSE),0)</f>
        <v>0</v>
      </c>
      <c r="H10">
        <f>IF($E$5="Vet-9",VLOOKUP($D10,UKdata!$A$2:$E$402,4,FALSE),0)</f>
        <v>50</v>
      </c>
      <c r="I10">
        <f>SUM(F10:H10)</f>
        <v>50</v>
      </c>
      <c r="J10" s="27">
        <v>0</v>
      </c>
      <c r="M10">
        <f>IF($J$5=0,IF(J10="Holding",1,0),IF($J$5="Holding",1,0))</f>
        <v>1</v>
      </c>
      <c r="N10">
        <f>IF($J$5=0,IF(J10="Reserve",1,0),IF($J$5="Reserve",1,0))</f>
        <v>0</v>
      </c>
      <c r="O10">
        <f>IF($J$5=0,IF(K10="Assault",1,0),IF($J$5="Assault",1,0))</f>
        <v>0</v>
      </c>
      <c r="P10">
        <f>IF($M10&lt;&gt;0,SUM($M$5:$M10),0)</f>
        <v>6</v>
      </c>
      <c r="Q10">
        <f>IF($N10&lt;&gt;0,SUM($N$5:$N10)+15,0)</f>
        <v>0</v>
      </c>
      <c r="R10">
        <f>IF($O10&lt;&gt;0,SUM($O$6:$O10)+30,0)</f>
        <v>0</v>
      </c>
      <c r="S10">
        <f>IF($S$5=0,IF(M10&gt;0,$I10,0),0)</f>
        <v>0</v>
      </c>
      <c r="T10">
        <f>IF($T$5=0,IF(N10&gt;0,$I10,0),0)</f>
        <v>0</v>
      </c>
      <c r="U10">
        <f t="shared" si="1"/>
        <v>0</v>
      </c>
      <c r="V10" s="17"/>
    </row>
    <row r="11" spans="10:22" ht="12.75">
      <c r="J11">
        <v>0</v>
      </c>
      <c r="P11">
        <f>IF($M11&lt;&gt;0,SUM($M$5:$M11),0)</f>
        <v>0</v>
      </c>
      <c r="Q11">
        <f>IF($N11&lt;&gt;0,SUM($N$5:$N11)+15,0)</f>
        <v>0</v>
      </c>
      <c r="R11">
        <f>IF($O11&lt;&gt;0,SUM($O$5:$O11)+30,0)</f>
        <v>0</v>
      </c>
      <c r="S11">
        <f aca="true" t="shared" si="2" ref="S11:T14">IF(M11&gt;0,$I11,0)</f>
        <v>0</v>
      </c>
      <c r="T11">
        <f t="shared" si="2"/>
        <v>0</v>
      </c>
      <c r="U11">
        <f t="shared" si="1"/>
        <v>0</v>
      </c>
      <c r="V11" s="17"/>
    </row>
    <row r="12" spans="4:22" ht="12.75">
      <c r="D12" s="20" t="s">
        <v>61</v>
      </c>
      <c r="J12">
        <v>0</v>
      </c>
      <c r="P12">
        <f>IF($M12&lt;&gt;0,SUM($M$5:$M12),0)</f>
        <v>0</v>
      </c>
      <c r="Q12">
        <f>IF($N12&lt;&gt;0,SUM($N$5:$N12)+15,0)</f>
        <v>0</v>
      </c>
      <c r="R12">
        <f>IF($O12&lt;&gt;0,SUM($O$5:$O12)+30,0)</f>
        <v>0</v>
      </c>
      <c r="S12">
        <f t="shared" si="2"/>
        <v>0</v>
      </c>
      <c r="T12">
        <f t="shared" si="2"/>
        <v>0</v>
      </c>
      <c r="U12">
        <f>IF(O12&gt;0,$I12,0)</f>
        <v>0</v>
      </c>
      <c r="V12" s="17"/>
    </row>
    <row r="13" spans="1:22" ht="12.75">
      <c r="A13" s="8">
        <f>IF(M13=1,"Ord"&amp;P13,IF(N13=1,"Ord"&amp;Q13,IF(O13=1,"Ord"&amp;R13,IF(I13&gt;0,"E",0))))</f>
        <v>0</v>
      </c>
      <c r="C13" s="22" t="s">
        <v>3</v>
      </c>
      <c r="D13" s="3" t="s">
        <v>6</v>
      </c>
      <c r="E13">
        <f>VLOOKUP($D13,UKdata!$A$2:$E$402,2,FALSE)</f>
        <v>0</v>
      </c>
      <c r="F13">
        <f>IF($C13="Reg-8",VLOOKUP($D13,UKdata!$A$2:$E$402,3,FALSE),0)</f>
        <v>0</v>
      </c>
      <c r="G13">
        <f>IF($C13="Exp-8",VLOOKUP($D13,UKdata!$A$2:$E$402,4,FALSE),0)</f>
        <v>0</v>
      </c>
      <c r="H13">
        <f>IF($C13="Vet-9",VLOOKUP($D13,UKdata!$A$2:$E$402,5,FALSE),0)</f>
        <v>0</v>
      </c>
      <c r="I13">
        <f>SUM(F13:H13)</f>
        <v>0</v>
      </c>
      <c r="J13" s="3">
        <v>0</v>
      </c>
      <c r="M13">
        <f>IF(J13="Holding",1,0)</f>
        <v>0</v>
      </c>
      <c r="N13">
        <f>IF(J13="Reserve",1,0)</f>
        <v>0</v>
      </c>
      <c r="O13">
        <f>IF(J13="Assault",1,0)</f>
        <v>0</v>
      </c>
      <c r="P13">
        <f>IF($M13&lt;&gt;0,SUM($M$5:$M13),0)</f>
        <v>0</v>
      </c>
      <c r="Q13">
        <f>IF($N13&lt;&gt;0,SUM($N$5:$N13)+15,0)</f>
        <v>0</v>
      </c>
      <c r="R13">
        <f>IF($O13&lt;&gt;0,SUM($O$6:$O13)+30,0)</f>
        <v>0</v>
      </c>
      <c r="S13">
        <f t="shared" si="2"/>
        <v>0</v>
      </c>
      <c r="T13">
        <f t="shared" si="2"/>
        <v>0</v>
      </c>
      <c r="U13">
        <f>IF(O13&gt;0,$I13,0)</f>
        <v>0</v>
      </c>
      <c r="V13" s="17">
        <f>VLOOKUP($D13,UKdata!$A$2:$F$49,6,FALSE)</f>
        <v>0</v>
      </c>
    </row>
    <row r="14" spans="1:22" ht="12.75">
      <c r="A14" s="8">
        <f>IF(M14=1,"Ord"&amp;P14,IF(N14=1,"Ord"&amp;Q14,IF(O14=1,"Ord"&amp;R14,IF(I14&gt;0,"E",0))))</f>
        <v>0</v>
      </c>
      <c r="C14" s="22"/>
      <c r="D14" s="3" t="s">
        <v>262</v>
      </c>
      <c r="E14">
        <f>VLOOKUP($D14,UKdata!$A$2:$E$402,2,FALSE)</f>
        <v>0</v>
      </c>
      <c r="F14">
        <f>IF($C14="Reg-8",VLOOKUP($D14,UKdata!$A$2:$E$402,3,FALSE),0)</f>
        <v>0</v>
      </c>
      <c r="G14">
        <f>IF($C14="Exp-8",VLOOKUP($D14,UKdata!$A$2:$E$402,4,FALSE),0)</f>
        <v>0</v>
      </c>
      <c r="H14">
        <f>IF($C14="Vet-9",VLOOKUP($D14,UKdata!$A$2:$E$402,5,FALSE),0)</f>
        <v>0</v>
      </c>
      <c r="I14">
        <f>SUM(F14:H14)</f>
        <v>0</v>
      </c>
      <c r="J14" s="3">
        <v>0</v>
      </c>
      <c r="K14" s="17">
        <f>VLOOKUP($D14,UKdata!$A$2:$F$202,6,FALSE)</f>
        <v>0</v>
      </c>
      <c r="M14">
        <f>IF(J14="Holding",1,0)</f>
        <v>0</v>
      </c>
      <c r="N14">
        <f>IF(J14="Reserve",1,0)</f>
        <v>0</v>
      </c>
      <c r="O14">
        <f>IF(J14="Assault",1,0)</f>
        <v>0</v>
      </c>
      <c r="P14">
        <f>IF($M14&lt;&gt;0,SUM($M$5:$M14),0)</f>
        <v>0</v>
      </c>
      <c r="Q14">
        <f>IF($N14&lt;&gt;0,SUM($N$5:$N14)+15,0)</f>
        <v>0</v>
      </c>
      <c r="R14">
        <f>IF($O14&lt;&gt;0,SUM($O$6:$O14)+30,0)</f>
        <v>0</v>
      </c>
      <c r="S14">
        <f t="shared" si="2"/>
        <v>0</v>
      </c>
      <c r="T14">
        <f t="shared" si="2"/>
        <v>0</v>
      </c>
      <c r="U14">
        <f>IF(O14&gt;0,$I14,0)</f>
        <v>0</v>
      </c>
      <c r="V14" s="17" t="e">
        <f>VLOOKUP($D14,UKdata!$A$2:$F$49,6,FALSE)</f>
        <v>#N/A</v>
      </c>
    </row>
    <row r="15" spans="3:22" ht="12.75">
      <c r="C15" s="22">
        <v>0</v>
      </c>
      <c r="D15" s="3" t="s">
        <v>262</v>
      </c>
      <c r="E15">
        <f>VLOOKUP($D15,UKdata!$A$2:$E$402,2,FALSE)</f>
        <v>0</v>
      </c>
      <c r="F15">
        <f>IF($C15="Reg-8",VLOOKUP($D15,UKdata!$A$2:$E$402,3,FALSE),0)</f>
        <v>0</v>
      </c>
      <c r="G15">
        <f>IF($C15="Exp-8",VLOOKUP($D15,UKdata!$A$2:$E$402,4,FALSE),0)</f>
        <v>0</v>
      </c>
      <c r="H15">
        <f>IF($C15="Vet-9",VLOOKUP($D15,UKdata!$A$2:$E$402,5,FALSE),0)</f>
        <v>0</v>
      </c>
      <c r="I15">
        <f>SUM(F15:H15)</f>
        <v>0</v>
      </c>
      <c r="J15" s="3">
        <v>0</v>
      </c>
      <c r="K15" s="17">
        <f>VLOOKUP($D15,UKdata!$A$2:$F$202,6,FALSE)</f>
        <v>0</v>
      </c>
      <c r="V15" s="17"/>
    </row>
    <row r="16" spans="3:22" ht="12.75">
      <c r="C16" s="22">
        <v>0</v>
      </c>
      <c r="D16" s="27"/>
      <c r="E16" s="28">
        <f>IF($I$14=0,0,IF($I$18=0,"Error - must get 2 Squadrons if 2nd Batt HQ is bought",IF(I19=0,"Error - must buy 2 squadrons",0)))</f>
        <v>0</v>
      </c>
      <c r="J16">
        <v>0</v>
      </c>
      <c r="V16" s="17"/>
    </row>
    <row r="17" spans="1:22" ht="12.75">
      <c r="A17" s="8">
        <f aca="true" t="shared" si="3" ref="A17:A25">IF(M17=1,"Ord"&amp;P17,IF(N17=1,"Ord"&amp;Q17,IF(O17=1,"Ord"&amp;R17,IF(I17&gt;0,"E",0))))</f>
        <v>0</v>
      </c>
      <c r="C17">
        <v>0</v>
      </c>
      <c r="D17" s="20" t="s">
        <v>209</v>
      </c>
      <c r="J17">
        <v>0</v>
      </c>
      <c r="M17">
        <f aca="true" t="shared" si="4" ref="M17:M25">IF(J17="Holding",1,0)</f>
        <v>0</v>
      </c>
      <c r="N17">
        <f aca="true" t="shared" si="5" ref="N17:N25">IF(J17="Reserve",1,0)</f>
        <v>0</v>
      </c>
      <c r="O17">
        <f aca="true" t="shared" si="6" ref="O17:O25">IF(J17="Assault",1,0)</f>
        <v>0</v>
      </c>
      <c r="P17">
        <f>IF($M17&lt;&gt;0,SUM($M$5:$M17),0)</f>
        <v>0</v>
      </c>
      <c r="Q17">
        <f>IF($N17&lt;&gt;0,SUM($N$5:$N17)+15,0)</f>
        <v>0</v>
      </c>
      <c r="R17">
        <f>IF($O17&lt;&gt;0,SUM($O$6:$O17)+30,0)</f>
        <v>0</v>
      </c>
      <c r="S17">
        <f aca="true" t="shared" si="7" ref="S17:S25">IF(M17&gt;0,$I17,0)</f>
        <v>0</v>
      </c>
      <c r="T17">
        <f aca="true" t="shared" si="8" ref="T17:T25">IF(N17&gt;0,$I17,0)</f>
        <v>0</v>
      </c>
      <c r="U17">
        <f aca="true" t="shared" si="9" ref="U17:U25">IF(O17&gt;0,$I17,0)</f>
        <v>0</v>
      </c>
      <c r="V17" s="17"/>
    </row>
    <row r="18" spans="1:22" ht="12.75">
      <c r="A18" s="8" t="str">
        <f t="shared" si="3"/>
        <v>Ord31</v>
      </c>
      <c r="C18" s="22" t="s">
        <v>3</v>
      </c>
      <c r="D18" s="3" t="s">
        <v>242</v>
      </c>
      <c r="E18" t="str">
        <f>VLOOKUP($D18,UKdata!$A$2:$E$202,2,FALSE)</f>
        <v>1 Cmd/A13, 1 A13</v>
      </c>
      <c r="F18">
        <f>IF($C18="Reg-8",VLOOKUP($D18,UKdata!$A$2:$E$202,3,FALSE),0)</f>
        <v>0</v>
      </c>
      <c r="G18">
        <f>IF($C18="Exp-8",VLOOKUP($D18,UKdata!$A$2:$E$202,4,FALSE),0)</f>
        <v>0</v>
      </c>
      <c r="H18">
        <f>IF($C18="Vet-9",VLOOKUP($D18,UKdata!$A$2:$E$202,5,FALSE),0)</f>
        <v>185</v>
      </c>
      <c r="I18">
        <f aca="true" t="shared" si="10" ref="I18:I25">SUM(F18:H18)</f>
        <v>185</v>
      </c>
      <c r="J18" s="3" t="s">
        <v>42</v>
      </c>
      <c r="K18">
        <f>VLOOKUP($D18,UKdata!$A$2:$F$202,6,FALSE)</f>
        <v>0</v>
      </c>
      <c r="M18">
        <f t="shared" si="4"/>
        <v>0</v>
      </c>
      <c r="N18">
        <f t="shared" si="5"/>
        <v>0</v>
      </c>
      <c r="O18">
        <f t="shared" si="6"/>
        <v>1</v>
      </c>
      <c r="P18">
        <f>IF($M18&lt;&gt;0,SUM($M$5:$M18),0)</f>
        <v>0</v>
      </c>
      <c r="Q18">
        <f>IF($N18&lt;&gt;0,SUM($N$5:$N18)+15,0)</f>
        <v>0</v>
      </c>
      <c r="R18">
        <f>IF($O18&lt;&gt;0,SUM($O$6:$O18)+30,0)</f>
        <v>31</v>
      </c>
      <c r="S18">
        <f t="shared" si="7"/>
        <v>0</v>
      </c>
      <c r="T18">
        <f t="shared" si="8"/>
        <v>0</v>
      </c>
      <c r="U18">
        <f t="shared" si="9"/>
        <v>185</v>
      </c>
      <c r="V18" s="17"/>
    </row>
    <row r="19" spans="1:22" ht="12.75">
      <c r="A19" s="8">
        <f t="shared" si="3"/>
        <v>0</v>
      </c>
      <c r="C19" s="22">
        <v>0</v>
      </c>
      <c r="D19" s="3" t="s">
        <v>353</v>
      </c>
      <c r="E19">
        <f>VLOOKUP($D19,UKdata!$A$2:$E$202,2,FALSE)</f>
        <v>0</v>
      </c>
      <c r="F19">
        <f>IF($C19="Reg-8",VLOOKUP($D19,UKdata!$A$2:$E$202,3,FALSE),0)</f>
        <v>0</v>
      </c>
      <c r="G19">
        <f>IF($C19="Exp-8",VLOOKUP($D19,UKdata!$A$2:$E$202,4,FALSE),0)</f>
        <v>0</v>
      </c>
      <c r="H19">
        <f>IF($C19="Vet-9",VLOOKUP($D19,UKdata!$A$2:$E$202,5,FALSE),0)</f>
        <v>0</v>
      </c>
      <c r="I19">
        <f t="shared" si="10"/>
        <v>0</v>
      </c>
      <c r="J19" s="3">
        <v>0</v>
      </c>
      <c r="K19" s="4"/>
      <c r="M19">
        <f t="shared" si="4"/>
        <v>0</v>
      </c>
      <c r="N19">
        <f t="shared" si="5"/>
        <v>0</v>
      </c>
      <c r="O19">
        <f t="shared" si="6"/>
        <v>0</v>
      </c>
      <c r="P19">
        <f>IF($M19&lt;&gt;0,SUM($M$5:$M19),0)</f>
        <v>0</v>
      </c>
      <c r="Q19">
        <f>IF($N19&lt;&gt;0,SUM($N$5:$N19)+15,0)</f>
        <v>0</v>
      </c>
      <c r="R19">
        <f>IF($O19&lt;&gt;0,SUM($O$6:$O19)+30,0)</f>
        <v>0</v>
      </c>
      <c r="S19">
        <f t="shared" si="7"/>
        <v>0</v>
      </c>
      <c r="T19">
        <f t="shared" si="8"/>
        <v>0</v>
      </c>
      <c r="U19">
        <f t="shared" si="9"/>
        <v>0</v>
      </c>
      <c r="V19" s="17"/>
    </row>
    <row r="20" spans="1:22" ht="12.75">
      <c r="A20" s="8">
        <f t="shared" si="3"/>
        <v>0</v>
      </c>
      <c r="C20" s="22">
        <v>0</v>
      </c>
      <c r="D20" s="3" t="s">
        <v>353</v>
      </c>
      <c r="E20">
        <f>VLOOKUP($D20,UKdata!$A$2:$E$202,2,FALSE)</f>
        <v>0</v>
      </c>
      <c r="F20">
        <f>IF($C20="Reg-8",VLOOKUP($D20,UKdata!$A$2:$E$202,3,FALSE),0)</f>
        <v>0</v>
      </c>
      <c r="G20">
        <f>IF($C20="Exp-8",VLOOKUP($D20,UKdata!$A$2:$E$202,4,FALSE),0)</f>
        <v>0</v>
      </c>
      <c r="H20">
        <f>IF($C20="Vet-9",VLOOKUP($D20,UKdata!$A$2:$E$202,5,FALSE),0)</f>
        <v>0</v>
      </c>
      <c r="I20">
        <f t="shared" si="10"/>
        <v>0</v>
      </c>
      <c r="J20" s="3">
        <v>0</v>
      </c>
      <c r="K20" s="4"/>
      <c r="M20">
        <f t="shared" si="4"/>
        <v>0</v>
      </c>
      <c r="N20">
        <f t="shared" si="5"/>
        <v>0</v>
      </c>
      <c r="O20">
        <f t="shared" si="6"/>
        <v>0</v>
      </c>
      <c r="P20">
        <f>IF($M20&lt;&gt;0,SUM($M$5:$M20),0)</f>
        <v>0</v>
      </c>
      <c r="Q20">
        <f>IF($N20&lt;&gt;0,SUM($N$5:$N20)+15,0)</f>
        <v>0</v>
      </c>
      <c r="R20">
        <f>IF($O20&lt;&gt;0,SUM($O$6:$O20)+30,0)</f>
        <v>0</v>
      </c>
      <c r="S20">
        <f t="shared" si="7"/>
        <v>0</v>
      </c>
      <c r="T20">
        <f t="shared" si="8"/>
        <v>0</v>
      </c>
      <c r="U20">
        <f t="shared" si="9"/>
        <v>0</v>
      </c>
      <c r="V20" s="17"/>
    </row>
    <row r="21" spans="1:22" ht="12.75">
      <c r="A21" s="8">
        <f t="shared" si="3"/>
        <v>0</v>
      </c>
      <c r="C21" s="22">
        <v>0</v>
      </c>
      <c r="D21" s="3" t="s">
        <v>353</v>
      </c>
      <c r="E21">
        <f>VLOOKUP($D21,UKdata!$A$2:$E$202,2,FALSE)</f>
        <v>0</v>
      </c>
      <c r="F21">
        <f>IF($C21="Reg-8",VLOOKUP($D21,UKdata!$A$2:$E$202,3,FALSE),0)</f>
        <v>0</v>
      </c>
      <c r="G21">
        <f>IF($C21="Exp-8",VLOOKUP($D21,UKdata!$A$2:$E$202,4,FALSE),0)</f>
        <v>0</v>
      </c>
      <c r="H21">
        <f>IF($C21="Vet-9",VLOOKUP($D21,UKdata!$A$2:$E$202,5,FALSE),0)</f>
        <v>0</v>
      </c>
      <c r="I21">
        <f t="shared" si="10"/>
        <v>0</v>
      </c>
      <c r="J21" s="3">
        <v>0</v>
      </c>
      <c r="K21" s="4"/>
      <c r="M21">
        <f t="shared" si="4"/>
        <v>0</v>
      </c>
      <c r="N21">
        <f t="shared" si="5"/>
        <v>0</v>
      </c>
      <c r="O21">
        <f t="shared" si="6"/>
        <v>0</v>
      </c>
      <c r="P21">
        <f>IF($M21&lt;&gt;0,SUM($M$5:$M21),0)</f>
        <v>0</v>
      </c>
      <c r="Q21">
        <f>IF($N21&lt;&gt;0,SUM($N$5:$N21)+15,0)</f>
        <v>0</v>
      </c>
      <c r="R21">
        <f>IF($O21&lt;&gt;0,SUM($O$6:$O21)+30,0)</f>
        <v>0</v>
      </c>
      <c r="S21">
        <f t="shared" si="7"/>
        <v>0</v>
      </c>
      <c r="T21">
        <f t="shared" si="8"/>
        <v>0</v>
      </c>
      <c r="U21">
        <f t="shared" si="9"/>
        <v>0</v>
      </c>
      <c r="V21" s="17"/>
    </row>
    <row r="22" spans="1:22" ht="12.75">
      <c r="A22" s="8" t="str">
        <f t="shared" si="3"/>
        <v>Ord16</v>
      </c>
      <c r="C22" s="22" t="s">
        <v>3</v>
      </c>
      <c r="D22" s="3" t="s">
        <v>277</v>
      </c>
      <c r="E22" t="str">
        <f>VLOOKUP($D22,UKdata!$A$2:$E$202,2,FALSE)</f>
        <v>1 A13</v>
      </c>
      <c r="F22">
        <f>IF($C22="Reg-8",VLOOKUP($D22,UKdata!$A$2:$E$202,3,FALSE),0)</f>
        <v>0</v>
      </c>
      <c r="G22">
        <f>IF($C22="Exp-8",VLOOKUP($D22,UKdata!$A$2:$E$202,4,FALSE),0)</f>
        <v>0</v>
      </c>
      <c r="H22">
        <f>IF($C22="Vet-9",VLOOKUP($D22,UKdata!$A$2:$E$202,5,FALSE),0)</f>
        <v>80</v>
      </c>
      <c r="I22">
        <f t="shared" si="10"/>
        <v>80</v>
      </c>
      <c r="J22" s="3" t="s">
        <v>41</v>
      </c>
      <c r="K22" s="4"/>
      <c r="M22">
        <f t="shared" si="4"/>
        <v>0</v>
      </c>
      <c r="N22">
        <f t="shared" si="5"/>
        <v>1</v>
      </c>
      <c r="O22">
        <f t="shared" si="6"/>
        <v>0</v>
      </c>
      <c r="P22">
        <f>IF($M22&lt;&gt;0,SUM($M$5:$M22),0)</f>
        <v>0</v>
      </c>
      <c r="Q22">
        <f>IF($N22&lt;&gt;0,SUM($N$5:$N22)+15,0)</f>
        <v>16</v>
      </c>
      <c r="R22">
        <f>IF($O22&lt;&gt;0,SUM($O$6:$O22)+30,0)</f>
        <v>0</v>
      </c>
      <c r="S22">
        <f t="shared" si="7"/>
        <v>0</v>
      </c>
      <c r="T22">
        <f t="shared" si="8"/>
        <v>80</v>
      </c>
      <c r="U22">
        <f t="shared" si="9"/>
        <v>0</v>
      </c>
      <c r="V22" s="17"/>
    </row>
    <row r="23" spans="1:22" ht="12.75">
      <c r="A23" s="8" t="str">
        <f>IF(M23=1,"Ord"&amp;P23,IF(N23=1,"Ord"&amp;Q23,IF(O23=1,"Ord"&amp;R23,IF(I23&gt;0,"E",0))))</f>
        <v>Ord17</v>
      </c>
      <c r="C23" s="22" t="s">
        <v>3</v>
      </c>
      <c r="D23" s="3" t="s">
        <v>277</v>
      </c>
      <c r="E23" t="str">
        <f>VLOOKUP($D23,UKdata!$A$2:$E$202,2,FALSE)</f>
        <v>1 A13</v>
      </c>
      <c r="F23">
        <f>IF($C23="Reg-8",VLOOKUP($D23,UKdata!$A$2:$E$202,3,FALSE),0)</f>
        <v>0</v>
      </c>
      <c r="G23">
        <f>IF($C23="Exp-8",VLOOKUP($D23,UKdata!$A$2:$E$202,4,FALSE),0)</f>
        <v>0</v>
      </c>
      <c r="H23">
        <f>IF($C23="Vet-9",VLOOKUP($D23,UKdata!$A$2:$E$202,5,FALSE),0)</f>
        <v>80</v>
      </c>
      <c r="I23">
        <f>SUM(F23:H23)</f>
        <v>80</v>
      </c>
      <c r="J23" s="3" t="s">
        <v>41</v>
      </c>
      <c r="K23" s="4"/>
      <c r="M23">
        <f>IF(J23="Holding",1,0)</f>
        <v>0</v>
      </c>
      <c r="N23">
        <f>IF(J23="Reserve",1,0)</f>
        <v>1</v>
      </c>
      <c r="O23">
        <f>IF(J23="Assault",1,0)</f>
        <v>0</v>
      </c>
      <c r="P23">
        <f>IF($M23&lt;&gt;0,SUM($M$5:$M23),0)</f>
        <v>0</v>
      </c>
      <c r="Q23">
        <f>IF($N23&lt;&gt;0,SUM($N$5:$N23)+15,0)</f>
        <v>17</v>
      </c>
      <c r="R23">
        <f>IF($O23&lt;&gt;0,SUM($O$6:$O23)+30,0)</f>
        <v>0</v>
      </c>
      <c r="S23">
        <f>IF(M23&gt;0,$I23,0)</f>
        <v>0</v>
      </c>
      <c r="T23">
        <f>IF(N23&gt;0,$I23,0)</f>
        <v>80</v>
      </c>
      <c r="U23">
        <f>IF(O23&gt;0,$I23,0)</f>
        <v>0</v>
      </c>
      <c r="V23" s="17"/>
    </row>
    <row r="24" spans="1:22" ht="12.75">
      <c r="A24" s="8" t="str">
        <f>IF(M24=1,"Ord"&amp;P24,IF(N24=1,"Ord"&amp;Q24,IF(O24=1,"Ord"&amp;R24,IF(I24&gt;0,"E",0))))</f>
        <v>Ord18</v>
      </c>
      <c r="C24" s="22" t="s">
        <v>3</v>
      </c>
      <c r="D24" s="3" t="s">
        <v>277</v>
      </c>
      <c r="E24" t="str">
        <f>VLOOKUP($D24,UKdata!$A$2:$E$202,2,FALSE)</f>
        <v>1 A13</v>
      </c>
      <c r="F24">
        <f>IF($C24="Reg-8",VLOOKUP($D24,UKdata!$A$2:$E$202,3,FALSE),0)</f>
        <v>0</v>
      </c>
      <c r="G24">
        <f>IF($C24="Exp-8",VLOOKUP($D24,UKdata!$A$2:$E$202,4,FALSE),0)</f>
        <v>0</v>
      </c>
      <c r="H24">
        <f>IF($C24="Vet-9",VLOOKUP($D24,UKdata!$A$2:$E$202,5,FALSE),0)</f>
        <v>80</v>
      </c>
      <c r="I24">
        <f>SUM(F24:H24)</f>
        <v>80</v>
      </c>
      <c r="J24" s="3" t="s">
        <v>41</v>
      </c>
      <c r="K24" s="4"/>
      <c r="M24">
        <f>IF(J24="Holding",1,0)</f>
        <v>0</v>
      </c>
      <c r="N24">
        <f>IF(J24="Reserve",1,0)</f>
        <v>1</v>
      </c>
      <c r="O24">
        <f>IF(J24="Assault",1,0)</f>
        <v>0</v>
      </c>
      <c r="P24">
        <f>IF($M24&lt;&gt;0,SUM($M$5:$M24),0)</f>
        <v>0</v>
      </c>
      <c r="Q24">
        <f>IF($N24&lt;&gt;0,SUM($N$5:$N24)+15,0)</f>
        <v>18</v>
      </c>
      <c r="R24">
        <f>IF($O24&lt;&gt;0,SUM($O$6:$O24)+30,0)</f>
        <v>0</v>
      </c>
      <c r="S24">
        <f>IF(M24&gt;0,$I24,0)</f>
        <v>0</v>
      </c>
      <c r="T24">
        <f>IF(N24&gt;0,$I24,0)</f>
        <v>80</v>
      </c>
      <c r="U24">
        <f>IF(O24&gt;0,$I24,0)</f>
        <v>0</v>
      </c>
      <c r="V24" s="17"/>
    </row>
    <row r="25" spans="1:22" ht="12.75">
      <c r="A25" s="8" t="str">
        <f>IF(M25=1,"Ord"&amp;P25,IF(N25=1,"Ord"&amp;Q25,IF(O25=1,"Ord"&amp;R25,IF(I25&gt;0,"E",0))))</f>
        <v>Ord19</v>
      </c>
      <c r="C25" s="22" t="s">
        <v>3</v>
      </c>
      <c r="D25" s="3" t="s">
        <v>277</v>
      </c>
      <c r="E25" t="str">
        <f>VLOOKUP($D25,UKdata!$A$2:$E$202,2,FALSE)</f>
        <v>1 A13</v>
      </c>
      <c r="F25">
        <f>IF($C25="Reg-8",VLOOKUP($D25,UKdata!$A$2:$E$202,3,FALSE),0)</f>
        <v>0</v>
      </c>
      <c r="G25">
        <f>IF($C25="Exp-8",VLOOKUP($D25,UKdata!$A$2:$E$202,4,FALSE),0)</f>
        <v>0</v>
      </c>
      <c r="H25">
        <f>IF($C25="Vet-9",VLOOKUP($D25,UKdata!$A$2:$E$202,5,FALSE),0)</f>
        <v>80</v>
      </c>
      <c r="I25">
        <f>SUM(F25:H25)</f>
        <v>80</v>
      </c>
      <c r="J25" s="3" t="s">
        <v>41</v>
      </c>
      <c r="K25" s="4"/>
      <c r="M25">
        <f>IF(J25="Holding",1,0)</f>
        <v>0</v>
      </c>
      <c r="N25">
        <f>IF(J25="Reserve",1,0)</f>
        <v>1</v>
      </c>
      <c r="O25">
        <f>IF(J25="Assault",1,0)</f>
        <v>0</v>
      </c>
      <c r="P25">
        <f>IF($M25&lt;&gt;0,SUM($M$5:$M25),0)</f>
        <v>0</v>
      </c>
      <c r="Q25">
        <f>IF($N25&lt;&gt;0,SUM($N$5:$N25)+15,0)</f>
        <v>19</v>
      </c>
      <c r="R25">
        <f>IF($O25&lt;&gt;0,SUM($O$6:$O25)+30,0)</f>
        <v>0</v>
      </c>
      <c r="S25">
        <f>IF(M25&gt;0,$I25,0)</f>
        <v>0</v>
      </c>
      <c r="T25">
        <f>IF(N25&gt;0,$I25,0)</f>
        <v>80</v>
      </c>
      <c r="U25">
        <f>IF(O25&gt;0,$I25,0)</f>
        <v>0</v>
      </c>
      <c r="V25" s="17"/>
    </row>
    <row r="26" spans="3:22" ht="12.75">
      <c r="C26" s="24">
        <v>0</v>
      </c>
      <c r="D26" s="27"/>
      <c r="F26">
        <f>IF($C26="Reg-8",VLOOKUP($D26,UKdata!$A$2:$E$202,3,FALSE),0)</f>
        <v>0</v>
      </c>
      <c r="G26">
        <f>IF($C26="Exp-8",VLOOKUP($D26,UKdata!$A$2:$E$202,4,FALSE),0)</f>
        <v>0</v>
      </c>
      <c r="H26">
        <f>IF($C26="Vet-9",VLOOKUP($D26,UKdata!$A$2:$E$202,5,FALSE),0)</f>
        <v>0</v>
      </c>
      <c r="I26">
        <f aca="true" t="shared" si="11" ref="I26:I34">SUM(F26:H26)</f>
        <v>0</v>
      </c>
      <c r="J26" s="27">
        <v>0</v>
      </c>
      <c r="K26" s="4"/>
      <c r="V26" s="17"/>
    </row>
    <row r="27" spans="1:22" ht="12.75">
      <c r="A27" s="8">
        <f aca="true" t="shared" si="12" ref="A27:A36">IF(M27=1,"Ord"&amp;P27,IF(N27=1,"Ord"&amp;Q27,IF(O27=1,"Ord"&amp;R27,IF(I27&gt;0,"E",0))))</f>
        <v>0</v>
      </c>
      <c r="C27">
        <v>0</v>
      </c>
      <c r="D27" s="20" t="s">
        <v>299</v>
      </c>
      <c r="F27">
        <f>IF($C27="Reg-8",VLOOKUP($D27,UKdata!$A$2:$E$202,3,FALSE),0)</f>
        <v>0</v>
      </c>
      <c r="G27">
        <f>IF($C27="Exp-8",VLOOKUP($D27,UKdata!$A$2:$E$202,4,FALSE),0)</f>
        <v>0</v>
      </c>
      <c r="H27">
        <f>IF($C27="Vet-9",VLOOKUP($D27,UKdata!$A$2:$E$202,5,FALSE),0)</f>
        <v>0</v>
      </c>
      <c r="I27">
        <f t="shared" si="11"/>
        <v>0</v>
      </c>
      <c r="J27">
        <v>0</v>
      </c>
      <c r="M27">
        <f aca="true" t="shared" si="13" ref="M27:M36">IF(J27="Holding",1,0)</f>
        <v>0</v>
      </c>
      <c r="N27">
        <f aca="true" t="shared" si="14" ref="N27:N36">IF(J27="Reserve",1,0)</f>
        <v>0</v>
      </c>
      <c r="O27">
        <f aca="true" t="shared" si="15" ref="O27:O36">IF(J27="Assault",1,0)</f>
        <v>0</v>
      </c>
      <c r="P27">
        <f>IF($M27&lt;&gt;0,SUM($M$5:$M27),0)</f>
        <v>0</v>
      </c>
      <c r="Q27">
        <f>IF($N27&lt;&gt;0,SUM($N$5:$N27)+15,0)</f>
        <v>0</v>
      </c>
      <c r="R27">
        <f>IF($O27&lt;&gt;0,SUM($O$6:$O27)+30,0)</f>
        <v>0</v>
      </c>
      <c r="S27">
        <f aca="true" t="shared" si="16" ref="S27:S36">IF(M27&gt;0,$I27,0)</f>
        <v>0</v>
      </c>
      <c r="T27">
        <f aca="true" t="shared" si="17" ref="T27:T36">IF(N27&gt;0,$I27,0)</f>
        <v>0</v>
      </c>
      <c r="U27">
        <f aca="true" t="shared" si="18" ref="U27:U36">IF(O27&gt;0,$I27,0)</f>
        <v>0</v>
      </c>
      <c r="V27" s="17"/>
    </row>
    <row r="28" spans="1:22" ht="12.75">
      <c r="A28" s="8" t="str">
        <f t="shared" si="12"/>
        <v>Ord32</v>
      </c>
      <c r="C28" s="22" t="s">
        <v>3</v>
      </c>
      <c r="D28" s="3" t="s">
        <v>290</v>
      </c>
      <c r="E28" t="str">
        <f>VLOOKUP($D28,UKdata!$A$2:$E$202,2,FALSE)</f>
        <v>1 Cmd/inf/Boys std, 2 inf/ATR std, 3 light trucks, 1 recon/LMG std, 1 carrier</v>
      </c>
      <c r="F28">
        <f>IF($C28="Reg-8",VLOOKUP($D28,UKdata!$A$2:$E$202,3,FALSE),0)</f>
        <v>0</v>
      </c>
      <c r="G28">
        <f>IF($C28="Exp-8",VLOOKUP($D28,UKdata!$A$2:$E$202,4,FALSE),0)</f>
        <v>0</v>
      </c>
      <c r="H28">
        <f>IF($C28="Vet-9",VLOOKUP($D28,UKdata!$A$2:$E$202,5,FALSE),0)</f>
        <v>195</v>
      </c>
      <c r="I28">
        <f t="shared" si="11"/>
        <v>195</v>
      </c>
      <c r="J28" s="3" t="s">
        <v>42</v>
      </c>
      <c r="K28" s="4" t="str">
        <f>IF($I$28&gt;0,IF($I$13=0,"Error - must  buy Brigadier",0),0)</f>
        <v>Error - must  buy Brigadier</v>
      </c>
      <c r="M28">
        <f t="shared" si="13"/>
        <v>0</v>
      </c>
      <c r="N28">
        <f t="shared" si="14"/>
        <v>0</v>
      </c>
      <c r="O28">
        <f t="shared" si="15"/>
        <v>1</v>
      </c>
      <c r="P28">
        <f>IF($M28&lt;&gt;0,SUM($M$5:$M28),0)</f>
        <v>0</v>
      </c>
      <c r="Q28">
        <f>IF($N28&lt;&gt;0,SUM($N$5:$N28)+15,0)</f>
        <v>0</v>
      </c>
      <c r="R28">
        <f>IF($O28&lt;&gt;0,SUM($O$6:$O28)+30,0)</f>
        <v>32</v>
      </c>
      <c r="S28">
        <f t="shared" si="16"/>
        <v>0</v>
      </c>
      <c r="T28">
        <f t="shared" si="17"/>
        <v>0</v>
      </c>
      <c r="U28">
        <f t="shared" si="18"/>
        <v>195</v>
      </c>
      <c r="V28" s="17"/>
    </row>
    <row r="29" spans="1:22" ht="12.75">
      <c r="A29" s="8" t="str">
        <f t="shared" si="12"/>
        <v>Ord20</v>
      </c>
      <c r="C29" s="22" t="s">
        <v>2</v>
      </c>
      <c r="D29" s="3" t="s">
        <v>142</v>
      </c>
      <c r="E29" t="str">
        <f>VLOOKUP($D29,UKdata!$A$2:$E$202,2,FALSE)</f>
        <v>1 Cmd/inf std, 1 light truck, 2 2pdr Bofors AT guns portee</v>
      </c>
      <c r="F29">
        <f>IF($C29="Reg-8",VLOOKUP($D29,UKdata!$A$2:$E$202,3,FALSE),0)</f>
        <v>0</v>
      </c>
      <c r="G29">
        <f>IF($C29="Exp-8",VLOOKUP($D29,UKdata!$A$2:$E$202,4,FALSE),0)</f>
        <v>105</v>
      </c>
      <c r="H29">
        <f>IF($C29="Vet-9",VLOOKUP($D29,UKdata!$A$2:$E$202,5,FALSE),0)</f>
        <v>0</v>
      </c>
      <c r="I29">
        <f t="shared" si="11"/>
        <v>105</v>
      </c>
      <c r="J29" s="3" t="s">
        <v>41</v>
      </c>
      <c r="K29" s="4"/>
      <c r="M29">
        <f t="shared" si="13"/>
        <v>0</v>
      </c>
      <c r="N29">
        <f t="shared" si="14"/>
        <v>1</v>
      </c>
      <c r="O29">
        <f t="shared" si="15"/>
        <v>0</v>
      </c>
      <c r="P29">
        <f>IF($M29&lt;&gt;0,SUM($M$5:$M29),0)</f>
        <v>0</v>
      </c>
      <c r="Q29">
        <f>IF($N29&lt;&gt;0,SUM($N$5:$N29)+15,0)</f>
        <v>20</v>
      </c>
      <c r="R29">
        <f>IF($O29&lt;&gt;0,SUM($O$6:$O29)+30,0)</f>
        <v>0</v>
      </c>
      <c r="S29">
        <f t="shared" si="16"/>
        <v>0</v>
      </c>
      <c r="T29">
        <f t="shared" si="17"/>
        <v>105</v>
      </c>
      <c r="U29">
        <f t="shared" si="18"/>
        <v>0</v>
      </c>
      <c r="V29" s="17"/>
    </row>
    <row r="30" spans="1:22" ht="12.75">
      <c r="A30" s="8">
        <f t="shared" si="12"/>
        <v>0</v>
      </c>
      <c r="C30" s="22">
        <v>0</v>
      </c>
      <c r="D30" s="3" t="s">
        <v>140</v>
      </c>
      <c r="E30">
        <f>VLOOKUP($D30,UKdata!$A$2:$E$202,2,FALSE)</f>
        <v>0</v>
      </c>
      <c r="F30">
        <f>IF($C30="Reg-8",VLOOKUP($D30,UKdata!$A$2:$E$202,3,FALSE),0)</f>
        <v>0</v>
      </c>
      <c r="G30">
        <f>IF($C30="Exp-8",VLOOKUP($D30,UKdata!$A$2:$E$202,4,FALSE),0)</f>
        <v>0</v>
      </c>
      <c r="H30">
        <f>IF($C30="Vet-9",VLOOKUP($D30,UKdata!$A$2:$E$202,5,FALSE),0)</f>
        <v>0</v>
      </c>
      <c r="I30">
        <f t="shared" si="11"/>
        <v>0</v>
      </c>
      <c r="J30" s="3">
        <v>0</v>
      </c>
      <c r="K30" s="4"/>
      <c r="M30">
        <f t="shared" si="13"/>
        <v>0</v>
      </c>
      <c r="N30">
        <f t="shared" si="14"/>
        <v>0</v>
      </c>
      <c r="O30">
        <f t="shared" si="15"/>
        <v>0</v>
      </c>
      <c r="P30">
        <f>IF($M30&lt;&gt;0,SUM($M$5:$M30),0)</f>
        <v>0</v>
      </c>
      <c r="Q30">
        <f>IF($N30&lt;&gt;0,SUM($N$5:$N30)+15,0)</f>
        <v>0</v>
      </c>
      <c r="R30">
        <f>IF($O30&lt;&gt;0,SUM($O$6:$O30)+30,0)</f>
        <v>0</v>
      </c>
      <c r="S30">
        <f t="shared" si="16"/>
        <v>0</v>
      </c>
      <c r="T30">
        <f t="shared" si="17"/>
        <v>0</v>
      </c>
      <c r="U30">
        <f t="shared" si="18"/>
        <v>0</v>
      </c>
      <c r="V30" s="17"/>
    </row>
    <row r="31" spans="1:22" ht="12.75">
      <c r="A31" s="8">
        <f t="shared" si="12"/>
        <v>0</v>
      </c>
      <c r="C31" s="22">
        <v>0</v>
      </c>
      <c r="D31" s="3" t="s">
        <v>136</v>
      </c>
      <c r="E31">
        <f>VLOOKUP($D31,UKdata!$A$2:$E$202,2,FALSE)</f>
        <v>0</v>
      </c>
      <c r="F31">
        <f>IF($C31="Reg-8",VLOOKUP($D31,UKdata!$A$2:$E$202,3,FALSE),0)</f>
        <v>0</v>
      </c>
      <c r="G31">
        <f>IF($C31="Exp-8",VLOOKUP($D31,UKdata!$A$2:$E$202,4,FALSE),0)</f>
        <v>0</v>
      </c>
      <c r="H31">
        <f>IF($C31="Vet-9",VLOOKUP($D31,UKdata!$A$2:$E$202,5,FALSE),0)</f>
        <v>0</v>
      </c>
      <c r="I31">
        <f t="shared" si="11"/>
        <v>0</v>
      </c>
      <c r="J31" s="3">
        <v>0</v>
      </c>
      <c r="K31" s="4"/>
      <c r="M31">
        <f t="shared" si="13"/>
        <v>0</v>
      </c>
      <c r="N31">
        <f t="shared" si="14"/>
        <v>0</v>
      </c>
      <c r="O31">
        <f t="shared" si="15"/>
        <v>0</v>
      </c>
      <c r="P31">
        <f>IF($M31&lt;&gt;0,SUM($M$5:$M31),0)</f>
        <v>0</v>
      </c>
      <c r="Q31">
        <f>IF($N31&lt;&gt;0,SUM($N$5:$N31)+15,0)</f>
        <v>0</v>
      </c>
      <c r="R31">
        <f>IF($O31&lt;&gt;0,SUM($O$6:$O31)+30,0)</f>
        <v>0</v>
      </c>
      <c r="S31">
        <f t="shared" si="16"/>
        <v>0</v>
      </c>
      <c r="T31">
        <f t="shared" si="17"/>
        <v>0</v>
      </c>
      <c r="U31">
        <f t="shared" si="18"/>
        <v>0</v>
      </c>
      <c r="V31" s="17"/>
    </row>
    <row r="32" spans="1:22" ht="12.75">
      <c r="A32" s="8">
        <f t="shared" si="12"/>
        <v>0</v>
      </c>
      <c r="C32" s="22">
        <v>0</v>
      </c>
      <c r="D32" s="3" t="s">
        <v>136</v>
      </c>
      <c r="E32">
        <f>VLOOKUP($D32,UKdata!$A$2:$E$202,2,FALSE)</f>
        <v>0</v>
      </c>
      <c r="F32">
        <f>IF($C32="Reg-8",VLOOKUP($D32,UKdata!$A$2:$E$202,3,FALSE),0)</f>
        <v>0</v>
      </c>
      <c r="G32">
        <f>IF($C32="Exp-8",VLOOKUP($D32,UKdata!$A$2:$E$202,4,FALSE),0)</f>
        <v>0</v>
      </c>
      <c r="H32">
        <f>IF($C32="Vet-9",VLOOKUP($D32,UKdata!$A$2:$E$202,5,FALSE),0)</f>
        <v>0</v>
      </c>
      <c r="I32">
        <f t="shared" si="11"/>
        <v>0</v>
      </c>
      <c r="J32" s="3">
        <v>0</v>
      </c>
      <c r="M32">
        <f t="shared" si="13"/>
        <v>0</v>
      </c>
      <c r="N32">
        <f t="shared" si="14"/>
        <v>0</v>
      </c>
      <c r="O32">
        <f t="shared" si="15"/>
        <v>0</v>
      </c>
      <c r="P32">
        <f>IF($M32&lt;&gt;0,SUM($M$5:$M32),0)</f>
        <v>0</v>
      </c>
      <c r="Q32">
        <f>IF($N32&lt;&gt;0,SUM($N$5:$N32)+15,0)</f>
        <v>0</v>
      </c>
      <c r="R32">
        <f>IF($O32&lt;&gt;0,SUM($O$6:$O32)+30,0)</f>
        <v>0</v>
      </c>
      <c r="S32">
        <f t="shared" si="16"/>
        <v>0</v>
      </c>
      <c r="T32">
        <f t="shared" si="17"/>
        <v>0</v>
      </c>
      <c r="U32">
        <f t="shared" si="18"/>
        <v>0</v>
      </c>
      <c r="V32" s="17"/>
    </row>
    <row r="33" spans="1:22" ht="12.75">
      <c r="A33" s="8">
        <f t="shared" si="12"/>
        <v>0</v>
      </c>
      <c r="C33" s="22">
        <v>0</v>
      </c>
      <c r="D33" s="3" t="s">
        <v>145</v>
      </c>
      <c r="E33">
        <f>VLOOKUP($D33,UKdata!$A$2:$E$202,2,FALSE)</f>
        <v>0</v>
      </c>
      <c r="F33">
        <f>IF($C33="Reg-8",VLOOKUP($D33,UKdata!$A$2:$E$202,3,FALSE),0)</f>
        <v>0</v>
      </c>
      <c r="G33">
        <f>IF($C33="Exp-8",VLOOKUP($D33,UKdata!$A$2:$E$202,4,FALSE),0)</f>
        <v>0</v>
      </c>
      <c r="H33">
        <f>IF($C33="Vet-9",VLOOKUP($D33,UKdata!$A$2:$E$202,5,FALSE),0)</f>
        <v>0</v>
      </c>
      <c r="I33">
        <f t="shared" si="11"/>
        <v>0</v>
      </c>
      <c r="J33" s="3">
        <v>0</v>
      </c>
      <c r="K33" s="4"/>
      <c r="M33">
        <f t="shared" si="13"/>
        <v>0</v>
      </c>
      <c r="N33">
        <f t="shared" si="14"/>
        <v>0</v>
      </c>
      <c r="O33">
        <f t="shared" si="15"/>
        <v>0</v>
      </c>
      <c r="P33">
        <f>IF($M33&lt;&gt;0,SUM($M$5:$M33),0)</f>
        <v>0</v>
      </c>
      <c r="Q33">
        <f>IF($N33&lt;&gt;0,SUM($N$5:$N33)+15,0)</f>
        <v>0</v>
      </c>
      <c r="R33">
        <f>IF($O33&lt;&gt;0,SUM($O$6:$O33)+30,0)</f>
        <v>0</v>
      </c>
      <c r="S33">
        <f t="shared" si="16"/>
        <v>0</v>
      </c>
      <c r="T33">
        <f t="shared" si="17"/>
        <v>0</v>
      </c>
      <c r="U33">
        <f t="shared" si="18"/>
        <v>0</v>
      </c>
      <c r="V33" s="17"/>
    </row>
    <row r="34" spans="1:22" ht="12.75">
      <c r="A34" s="8">
        <f t="shared" si="12"/>
        <v>0</v>
      </c>
      <c r="C34" s="22">
        <v>0</v>
      </c>
      <c r="D34" s="3" t="s">
        <v>312</v>
      </c>
      <c r="E34">
        <f>VLOOKUP($D34,UKdata!$A$2:$E$202,2,FALSE)</f>
        <v>0</v>
      </c>
      <c r="F34">
        <f>IF($C34="Reg-8",VLOOKUP($D34,UKdata!$A$2:$E$202,3,FALSE),0)</f>
        <v>0</v>
      </c>
      <c r="G34">
        <f>IF($C34="Exp-8",VLOOKUP($D34,UKdata!$A$2:$E$202,4,FALSE),0)</f>
        <v>0</v>
      </c>
      <c r="H34">
        <f>IF($C34="Vet-9",VLOOKUP($D34,UKdata!$A$2:$E$202,5,FALSE),0)</f>
        <v>0</v>
      </c>
      <c r="I34">
        <f t="shared" si="11"/>
        <v>0</v>
      </c>
      <c r="J34" s="3">
        <v>0</v>
      </c>
      <c r="K34" s="4"/>
      <c r="M34">
        <f t="shared" si="13"/>
        <v>0</v>
      </c>
      <c r="N34">
        <f t="shared" si="14"/>
        <v>0</v>
      </c>
      <c r="O34">
        <f t="shared" si="15"/>
        <v>0</v>
      </c>
      <c r="P34">
        <f>IF($M34&lt;&gt;0,SUM($M$5:$M34),0)</f>
        <v>0</v>
      </c>
      <c r="Q34">
        <f>IF($N34&lt;&gt;0,SUM($N$5:$N34)+15,0)</f>
        <v>0</v>
      </c>
      <c r="R34">
        <f>IF($O34&lt;&gt;0,SUM($O$6:$O34)+30,0)</f>
        <v>0</v>
      </c>
      <c r="S34">
        <f t="shared" si="16"/>
        <v>0</v>
      </c>
      <c r="T34">
        <f t="shared" si="17"/>
        <v>0</v>
      </c>
      <c r="U34">
        <f t="shared" si="18"/>
        <v>0</v>
      </c>
      <c r="V34" s="17"/>
    </row>
    <row r="35" spans="1:22" ht="12.75">
      <c r="A35" s="8">
        <f>IF(M35=1,"Ord"&amp;P35,IF(N35=1,"Ord"&amp;Q35,IF(O35=1,"Ord"&amp;R35,IF(I35&gt;0,"E",0))))</f>
        <v>0</v>
      </c>
      <c r="C35" s="22">
        <v>0</v>
      </c>
      <c r="D35" s="3" t="s">
        <v>181</v>
      </c>
      <c r="E35">
        <f>VLOOKUP($D35,UKdata!$A$2:$E$202,2,FALSE)</f>
        <v>0</v>
      </c>
      <c r="F35">
        <f>IF($C35="Reg-8",VLOOKUP($D35,UKdata!$A$2:$E$202,3,FALSE),0)</f>
        <v>0</v>
      </c>
      <c r="G35">
        <f>IF($C35="Exp-8",VLOOKUP($D35,UKdata!$A$2:$E$202,4,FALSE),0)</f>
        <v>0</v>
      </c>
      <c r="H35">
        <f>IF($C35="Vet-9",VLOOKUP($D35,UKdata!$A$2:$E$202,5,FALSE),0)</f>
        <v>0</v>
      </c>
      <c r="I35">
        <f>SUM(F35:H35)</f>
        <v>0</v>
      </c>
      <c r="J35" s="3">
        <v>0</v>
      </c>
      <c r="M35">
        <f>IF(J35="Holding",1,0)</f>
        <v>0</v>
      </c>
      <c r="N35">
        <f>IF(J35="Reserve",1,0)</f>
        <v>0</v>
      </c>
      <c r="O35">
        <f>IF(J35="Assault",1,0)</f>
        <v>0</v>
      </c>
      <c r="P35">
        <f>IF($M35&lt;&gt;0,SUM($M$5:$M36),0)</f>
        <v>0</v>
      </c>
      <c r="Q35">
        <f>IF($N35&lt;&gt;0,SUM($N$5:$N36)+15,0)</f>
        <v>0</v>
      </c>
      <c r="R35">
        <f>IF($O35&lt;&gt;0,SUM($O$6:$O36)+30,0)</f>
        <v>0</v>
      </c>
      <c r="S35">
        <f>IF(M35&gt;0,$I35,0)</f>
        <v>0</v>
      </c>
      <c r="T35">
        <f>IF(N35&gt;0,$I35,0)</f>
        <v>0</v>
      </c>
      <c r="U35">
        <f>IF(O35&gt;0,$I35,0)</f>
        <v>0</v>
      </c>
      <c r="V35" s="17"/>
    </row>
    <row r="36" spans="1:22" ht="12.75">
      <c r="A36" s="8">
        <f t="shared" si="12"/>
        <v>0</v>
      </c>
      <c r="C36">
        <v>0</v>
      </c>
      <c r="J36">
        <v>0</v>
      </c>
      <c r="M36">
        <f t="shared" si="13"/>
        <v>0</v>
      </c>
      <c r="N36">
        <f t="shared" si="14"/>
        <v>0</v>
      </c>
      <c r="O36">
        <f t="shared" si="15"/>
        <v>0</v>
      </c>
      <c r="P36">
        <f>IF($M36&lt;&gt;0,SUM($M$5:$M36),0)</f>
        <v>0</v>
      </c>
      <c r="Q36">
        <f>IF($N36&lt;&gt;0,SUM($N$5:$N36)+15,0)</f>
        <v>0</v>
      </c>
      <c r="R36">
        <f>IF($O36&lt;&gt;0,SUM($O$6:$O36)+30,0)</f>
        <v>0</v>
      </c>
      <c r="S36">
        <f t="shared" si="16"/>
        <v>0</v>
      </c>
      <c r="T36">
        <f t="shared" si="17"/>
        <v>0</v>
      </c>
      <c r="U36">
        <f t="shared" si="18"/>
        <v>0</v>
      </c>
      <c r="V36" s="17"/>
    </row>
    <row r="37" spans="1:22" ht="12.75">
      <c r="A37" s="8">
        <f aca="true" t="shared" si="19" ref="A37:A49">IF(M37=1,"Ord"&amp;P37,IF(N37=1,"Ord"&amp;Q37,IF(O37=1,"Ord"&amp;R37,IF(I37&gt;0,"E",0))))</f>
        <v>0</v>
      </c>
      <c r="C37">
        <v>0</v>
      </c>
      <c r="D37" s="20" t="s">
        <v>63</v>
      </c>
      <c r="J37">
        <v>0</v>
      </c>
      <c r="M37">
        <f aca="true" t="shared" si="20" ref="M37:M53">IF(J37="Holding",1,0)</f>
        <v>0</v>
      </c>
      <c r="N37">
        <f aca="true" t="shared" si="21" ref="N37:N53">IF(J37="Reserve",1,0)</f>
        <v>0</v>
      </c>
      <c r="O37">
        <f aca="true" t="shared" si="22" ref="O37:O53">IF(J37="Assault",1,0)</f>
        <v>0</v>
      </c>
      <c r="P37">
        <f>IF($M37&lt;&gt;0,SUM($M$5:$M37),0)</f>
        <v>0</v>
      </c>
      <c r="Q37">
        <f>IF($N37&lt;&gt;0,SUM($N$5:$N37)+15,0)</f>
        <v>0</v>
      </c>
      <c r="R37">
        <f>IF($O37&lt;&gt;0,SUM($O$6:$O37)+30,0)</f>
        <v>0</v>
      </c>
      <c r="S37">
        <f aca="true" t="shared" si="23" ref="S37:S53">IF(M37&gt;0,$I37,0)</f>
        <v>0</v>
      </c>
      <c r="T37">
        <f aca="true" t="shared" si="24" ref="T37:T53">IF(N37&gt;0,$I37,0)</f>
        <v>0</v>
      </c>
      <c r="U37">
        <f aca="true" t="shared" si="25" ref="U37:U53">IF(O37&gt;0,$I37,0)</f>
        <v>0</v>
      </c>
      <c r="V37" s="17"/>
    </row>
    <row r="38" spans="1:22" ht="12.75">
      <c r="A38" s="8">
        <f t="shared" si="19"/>
        <v>0</v>
      </c>
      <c r="C38" s="22"/>
      <c r="D38" s="3" t="s">
        <v>300</v>
      </c>
      <c r="E38">
        <f>VLOOKUP($D38,UKdata!$A$2:$E$202,2,FALSE)</f>
        <v>0</v>
      </c>
      <c r="F38">
        <f>IF($C38="Reg-8",VLOOKUP($D38,UKdata!$A$2:$E$202,3,FALSE),0)</f>
        <v>0</v>
      </c>
      <c r="G38">
        <f>IF($C38="Exp-8",VLOOKUP($D38,UKdata!$A$2:$E$202,4,FALSE),0)</f>
        <v>0</v>
      </c>
      <c r="H38">
        <f>IF($C38="Vet-9",VLOOKUP($D38,UKdata!$A$2:$E$202,5,FALSE),0)</f>
        <v>0</v>
      </c>
      <c r="I38">
        <f>SUM(F38:H38)</f>
        <v>0</v>
      </c>
      <c r="J38" s="3"/>
      <c r="M38">
        <f t="shared" si="20"/>
        <v>0</v>
      </c>
      <c r="N38">
        <f t="shared" si="21"/>
        <v>0</v>
      </c>
      <c r="O38">
        <f t="shared" si="22"/>
        <v>0</v>
      </c>
      <c r="P38">
        <f>IF($M38&lt;&gt;0,SUM($M$5:$M38),0)</f>
        <v>0</v>
      </c>
      <c r="Q38">
        <f>IF($N38&lt;&gt;0,SUM($N$5:$N38)+15,0)</f>
        <v>0</v>
      </c>
      <c r="R38">
        <f>IF($O38&lt;&gt;0,SUM($O$6:$O38)+30,0)</f>
        <v>0</v>
      </c>
      <c r="S38">
        <f t="shared" si="23"/>
        <v>0</v>
      </c>
      <c r="T38">
        <f t="shared" si="24"/>
        <v>0</v>
      </c>
      <c r="U38">
        <f t="shared" si="25"/>
        <v>0</v>
      </c>
      <c r="V38" s="17"/>
    </row>
    <row r="39" spans="1:22" ht="12.75">
      <c r="A39" s="8">
        <f>IF(M39=1,"Ord"&amp;P39,IF(N39=1,"Ord"&amp;Q39,IF(O39=1,"Ord"&amp;R39,IF(I39&gt;0,"E",0))))</f>
        <v>0</v>
      </c>
      <c r="C39" s="22">
        <v>0</v>
      </c>
      <c r="D39" s="3" t="s">
        <v>313</v>
      </c>
      <c r="E39">
        <f>VLOOKUP($D39,UKdata!$A$2:$E$202,2,FALSE)</f>
        <v>0</v>
      </c>
      <c r="F39">
        <f>IF($C39="Reg-8",VLOOKUP($D39,UKdata!$A$2:$E$202,3,FALSE),0)</f>
        <v>0</v>
      </c>
      <c r="G39">
        <f>IF($C39="Exp-8",VLOOKUP($D39,UKdata!$A$2:$E$202,4,FALSE),0)</f>
        <v>0</v>
      </c>
      <c r="H39">
        <f>IF($C39="Vet-9",VLOOKUP($D39,UKdata!$A$2:$E$202,5,FALSE),0)</f>
        <v>0</v>
      </c>
      <c r="I39">
        <f>SUM(F39:H39)</f>
        <v>0</v>
      </c>
      <c r="J39" s="3">
        <v>0</v>
      </c>
      <c r="M39">
        <f>IF(J39="Holding",1,0)</f>
        <v>0</v>
      </c>
      <c r="N39">
        <f>IF(J39="Reserve",1,0)</f>
        <v>0</v>
      </c>
      <c r="O39">
        <f>IF(J39="Assault",1,0)</f>
        <v>0</v>
      </c>
      <c r="P39">
        <f>IF($M39&lt;&gt;0,SUM($M$5:$M39),0)</f>
        <v>0</v>
      </c>
      <c r="Q39">
        <f>IF($N39&lt;&gt;0,SUM($N$5:$N39)+15,0)</f>
        <v>0</v>
      </c>
      <c r="R39">
        <f>IF($O39&lt;&gt;0,SUM($O$6:$O39)+30,0)</f>
        <v>0</v>
      </c>
      <c r="S39">
        <f>IF(M39&gt;0,$I39,0)</f>
        <v>0</v>
      </c>
      <c r="T39">
        <f>IF(N39&gt;0,$I39,0)</f>
        <v>0</v>
      </c>
      <c r="U39">
        <f>IF(O39&gt;0,$I39,0)</f>
        <v>0</v>
      </c>
      <c r="V39" s="17"/>
    </row>
    <row r="40" spans="1:22" ht="12.75">
      <c r="A40" s="8">
        <f t="shared" si="19"/>
        <v>0</v>
      </c>
      <c r="C40">
        <v>0</v>
      </c>
      <c r="J40">
        <v>0</v>
      </c>
      <c r="M40">
        <f t="shared" si="20"/>
        <v>0</v>
      </c>
      <c r="N40">
        <f t="shared" si="21"/>
        <v>0</v>
      </c>
      <c r="O40">
        <f t="shared" si="22"/>
        <v>0</v>
      </c>
      <c r="P40">
        <f>IF($M40&lt;&gt;0,SUM($M$5:$M40),0)</f>
        <v>0</v>
      </c>
      <c r="Q40">
        <f>IF($N40&lt;&gt;0,SUM($N$5:$N40)+15,0)</f>
        <v>0</v>
      </c>
      <c r="R40">
        <f>IF($O40&lt;&gt;0,SUM($O$6:$O40)+30,0)</f>
        <v>0</v>
      </c>
      <c r="S40">
        <f t="shared" si="23"/>
        <v>0</v>
      </c>
      <c r="T40">
        <f t="shared" si="24"/>
        <v>0</v>
      </c>
      <c r="U40">
        <f t="shared" si="25"/>
        <v>0</v>
      </c>
      <c r="V40" s="17"/>
    </row>
    <row r="41" spans="1:22" ht="12.75">
      <c r="A41" s="8">
        <f t="shared" si="19"/>
        <v>0</v>
      </c>
      <c r="C41">
        <v>0</v>
      </c>
      <c r="D41" s="20" t="s">
        <v>210</v>
      </c>
      <c r="J41">
        <v>0</v>
      </c>
      <c r="M41">
        <f t="shared" si="20"/>
        <v>0</v>
      </c>
      <c r="N41">
        <f t="shared" si="21"/>
        <v>0</v>
      </c>
      <c r="O41">
        <f t="shared" si="22"/>
        <v>0</v>
      </c>
      <c r="P41">
        <f>IF($M41&lt;&gt;0,SUM($M$5:$M41),0)</f>
        <v>0</v>
      </c>
      <c r="Q41">
        <f>IF($N41&lt;&gt;0,SUM($N$5:$N41)+15,0)</f>
        <v>0</v>
      </c>
      <c r="R41">
        <f>IF($O41&lt;&gt;0,SUM($O$6:$O41)+30,0)</f>
        <v>0</v>
      </c>
      <c r="S41">
        <f t="shared" si="23"/>
        <v>0</v>
      </c>
      <c r="T41">
        <f t="shared" si="24"/>
        <v>0</v>
      </c>
      <c r="U41">
        <f t="shared" si="25"/>
        <v>0</v>
      </c>
      <c r="V41" s="17"/>
    </row>
    <row r="42" spans="1:22" ht="12.75">
      <c r="A42" s="8">
        <f t="shared" si="19"/>
        <v>0</v>
      </c>
      <c r="C42" s="3" t="s">
        <v>3</v>
      </c>
      <c r="D42" s="3" t="s">
        <v>184</v>
      </c>
      <c r="E42">
        <f>VLOOKUP($D42,UKdata!$A$2:$E$202,2,FALSE)</f>
        <v>0</v>
      </c>
      <c r="F42">
        <f>IF($C42="Reg-8",VLOOKUP($D42,UKdata!$A$2:$E$202,3,FALSE),0)</f>
        <v>0</v>
      </c>
      <c r="G42">
        <f>IF($C42="Exp-8",VLOOKUP($D42,UKdata!$A$2:$E$202,4,FALSE),0)</f>
        <v>0</v>
      </c>
      <c r="H42">
        <f>IF($C42="Vet-9",VLOOKUP($D42,UKdata!$A$2:$E$202,5,FALSE),0)</f>
        <v>0</v>
      </c>
      <c r="I42">
        <f aca="true" t="shared" si="26" ref="I42:I50">SUM(F42:H42)</f>
        <v>0</v>
      </c>
      <c r="J42" s="3">
        <v>0</v>
      </c>
      <c r="K42" s="17">
        <f>VLOOKUP($D42,UKdata!$A$2:$F$202,6,FALSE)</f>
        <v>0</v>
      </c>
      <c r="M42">
        <f t="shared" si="20"/>
        <v>0</v>
      </c>
      <c r="N42">
        <f t="shared" si="21"/>
        <v>0</v>
      </c>
      <c r="O42">
        <f t="shared" si="22"/>
        <v>0</v>
      </c>
      <c r="P42">
        <f>IF($M42&lt;&gt;0,SUM($M$5:$M42),0)</f>
        <v>0</v>
      </c>
      <c r="Q42">
        <f>IF($N42&lt;&gt;0,SUM($N$5:$N42)+15,0)</f>
        <v>0</v>
      </c>
      <c r="R42">
        <f>IF($O42&lt;&gt;0,SUM($O$6:$O42)+30,0)</f>
        <v>0</v>
      </c>
      <c r="S42">
        <f t="shared" si="23"/>
        <v>0</v>
      </c>
      <c r="T42">
        <f t="shared" si="24"/>
        <v>0</v>
      </c>
      <c r="U42">
        <f t="shared" si="25"/>
        <v>0</v>
      </c>
      <c r="V42" s="17" t="e">
        <f>VLOOKUP($D42,UKdata!$A$2:$F$49,6,FALSE)</f>
        <v>#N/A</v>
      </c>
    </row>
    <row r="43" spans="1:22" ht="12.75">
      <c r="A43" s="8">
        <f t="shared" si="19"/>
        <v>0</v>
      </c>
      <c r="C43" s="3" t="s">
        <v>3</v>
      </c>
      <c r="D43" s="3" t="s">
        <v>184</v>
      </c>
      <c r="E43">
        <f>VLOOKUP($D43,UKdata!$A$2:$E$202,2,FALSE)</f>
        <v>0</v>
      </c>
      <c r="F43">
        <f>IF($C43="Reg-8",VLOOKUP($D43,UKdata!$A$2:$E$202,3,FALSE),0)</f>
        <v>0</v>
      </c>
      <c r="G43">
        <f>IF($C43="Exp-8",VLOOKUP($D43,UKdata!$A$2:$E$202,4,FALSE),0)</f>
        <v>0</v>
      </c>
      <c r="H43">
        <f>IF($C43="Vet-9",VLOOKUP($D43,UKdata!$A$2:$E$202,5,FALSE),0)</f>
        <v>0</v>
      </c>
      <c r="I43">
        <f t="shared" si="26"/>
        <v>0</v>
      </c>
      <c r="J43" s="3">
        <v>0</v>
      </c>
      <c r="K43" s="17">
        <f>VLOOKUP($D43,UKdata!$A$2:$F$202,6,FALSE)</f>
        <v>0</v>
      </c>
      <c r="M43">
        <f t="shared" si="20"/>
        <v>0</v>
      </c>
      <c r="N43">
        <f t="shared" si="21"/>
        <v>0</v>
      </c>
      <c r="O43">
        <f t="shared" si="22"/>
        <v>0</v>
      </c>
      <c r="P43">
        <f>IF($M43&lt;&gt;0,SUM($M$5:$M43),0)</f>
        <v>0</v>
      </c>
      <c r="Q43">
        <f>IF($N43&lt;&gt;0,SUM($N$5:$N43)+15,0)</f>
        <v>0</v>
      </c>
      <c r="R43">
        <f>IF($O43&lt;&gt;0,SUM($O$6:$O43)+30,0)</f>
        <v>0</v>
      </c>
      <c r="S43">
        <f t="shared" si="23"/>
        <v>0</v>
      </c>
      <c r="T43">
        <f t="shared" si="24"/>
        <v>0</v>
      </c>
      <c r="U43">
        <f t="shared" si="25"/>
        <v>0</v>
      </c>
      <c r="V43" s="17" t="e">
        <f>VLOOKUP($D43,UKdata!$A$2:$F$49,6,FALSE)</f>
        <v>#N/A</v>
      </c>
    </row>
    <row r="44" spans="1:22" ht="12.75">
      <c r="A44" s="8">
        <f t="shared" si="19"/>
        <v>0</v>
      </c>
      <c r="C44" s="3" t="s">
        <v>3</v>
      </c>
      <c r="D44" s="3" t="s">
        <v>184</v>
      </c>
      <c r="E44">
        <f>VLOOKUP($D44,UKdata!$A$2:$E$202,2,FALSE)</f>
        <v>0</v>
      </c>
      <c r="F44">
        <f>IF($C44="Reg-8",VLOOKUP($D44,UKdata!$A$2:$E$202,3,FALSE),0)</f>
        <v>0</v>
      </c>
      <c r="G44">
        <f>IF($C44="Exp-8",VLOOKUP($D44,UKdata!$A$2:$E$202,4,FALSE),0)</f>
        <v>0</v>
      </c>
      <c r="H44">
        <f>IF($C44="Vet-9",VLOOKUP($D44,UKdata!$A$2:$E$202,5,FALSE),0)</f>
        <v>0</v>
      </c>
      <c r="I44">
        <f t="shared" si="26"/>
        <v>0</v>
      </c>
      <c r="J44" s="3">
        <v>0</v>
      </c>
      <c r="K44" s="17">
        <f>VLOOKUP($D44,UKdata!$A$2:$F$202,6,FALSE)</f>
        <v>0</v>
      </c>
      <c r="M44">
        <f t="shared" si="20"/>
        <v>0</v>
      </c>
      <c r="N44">
        <f t="shared" si="21"/>
        <v>0</v>
      </c>
      <c r="O44">
        <f t="shared" si="22"/>
        <v>0</v>
      </c>
      <c r="P44">
        <f>IF($M44&lt;&gt;0,SUM($M$5:$M44),0)</f>
        <v>0</v>
      </c>
      <c r="Q44">
        <f>IF($N44&lt;&gt;0,SUM($N$5:$N44)+15,0)</f>
        <v>0</v>
      </c>
      <c r="R44">
        <f>IF($O44&lt;&gt;0,SUM($O$6:$O44)+30,0)</f>
        <v>0</v>
      </c>
      <c r="S44">
        <f t="shared" si="23"/>
        <v>0</v>
      </c>
      <c r="T44">
        <f t="shared" si="24"/>
        <v>0</v>
      </c>
      <c r="U44">
        <f t="shared" si="25"/>
        <v>0</v>
      </c>
      <c r="V44" s="17" t="e">
        <f>VLOOKUP($D44,UKdata!$A$2:$F$49,6,FALSE)</f>
        <v>#N/A</v>
      </c>
    </row>
    <row r="45" spans="1:22" ht="13.5" customHeight="1">
      <c r="A45" s="8">
        <f t="shared" si="19"/>
        <v>0</v>
      </c>
      <c r="C45" s="3" t="s">
        <v>3</v>
      </c>
      <c r="D45" s="3" t="s">
        <v>189</v>
      </c>
      <c r="E45">
        <f>VLOOKUP($D45,UKdata!$A$2:$E$202,2,FALSE)</f>
        <v>0</v>
      </c>
      <c r="F45">
        <f>IF($C45="Reg-8",VLOOKUP($D45,UKdata!$A$2:$E$202,3,FALSE),0)</f>
        <v>0</v>
      </c>
      <c r="G45">
        <f>IF($C45="Exp-8",VLOOKUP($D45,UKdata!$A$2:$E$202,4,FALSE),0)</f>
        <v>0</v>
      </c>
      <c r="H45">
        <f>IF($C45="Vet-9",VLOOKUP($D45,UKdata!$A$2:$E$202,5,FALSE),0)</f>
        <v>0</v>
      </c>
      <c r="I45">
        <f t="shared" si="26"/>
        <v>0</v>
      </c>
      <c r="J45" s="3">
        <v>0</v>
      </c>
      <c r="K45" s="17">
        <f>VLOOKUP($D45,UKdata!$A$2:$F$202,6,FALSE)</f>
        <v>0</v>
      </c>
      <c r="M45">
        <f t="shared" si="20"/>
        <v>0</v>
      </c>
      <c r="N45">
        <f t="shared" si="21"/>
        <v>0</v>
      </c>
      <c r="O45">
        <f t="shared" si="22"/>
        <v>0</v>
      </c>
      <c r="P45">
        <f>IF($M45&lt;&gt;0,SUM($M$5:$M45),0)</f>
        <v>0</v>
      </c>
      <c r="Q45">
        <f>IF($N45&lt;&gt;0,SUM($N$5:$N45)+15,0)</f>
        <v>0</v>
      </c>
      <c r="R45">
        <f>IF($O45&lt;&gt;0,SUM($O$6:$O45)+30,0)</f>
        <v>0</v>
      </c>
      <c r="S45">
        <f t="shared" si="23"/>
        <v>0</v>
      </c>
      <c r="T45">
        <f t="shared" si="24"/>
        <v>0</v>
      </c>
      <c r="U45">
        <f t="shared" si="25"/>
        <v>0</v>
      </c>
      <c r="V45" s="17" t="e">
        <f>VLOOKUP($D45,UKdata!$A$2:$F$49,6,FALSE)</f>
        <v>#N/A</v>
      </c>
    </row>
    <row r="46" spans="1:22" ht="13.5" customHeight="1">
      <c r="A46" s="8">
        <f t="shared" si="19"/>
        <v>0</v>
      </c>
      <c r="C46" s="3" t="s">
        <v>3</v>
      </c>
      <c r="D46" s="3" t="s">
        <v>189</v>
      </c>
      <c r="E46">
        <f>VLOOKUP($D46,UKdata!$A$2:$E$202,2,FALSE)</f>
        <v>0</v>
      </c>
      <c r="F46">
        <f>IF($C46="Reg-8",VLOOKUP($D46,UKdata!$A$2:$E$202,3,FALSE),0)</f>
        <v>0</v>
      </c>
      <c r="G46">
        <f>IF($C46="Exp-8",VLOOKUP($D46,UKdata!$A$2:$E$202,4,FALSE),0)</f>
        <v>0</v>
      </c>
      <c r="H46">
        <f>IF($C46="Vet-9",VLOOKUP($D46,UKdata!$A$2:$E$202,5,FALSE),0)</f>
        <v>0</v>
      </c>
      <c r="I46">
        <f t="shared" si="26"/>
        <v>0</v>
      </c>
      <c r="J46" s="3">
        <v>0</v>
      </c>
      <c r="K46" s="17">
        <f>VLOOKUP($D46,UKdata!$A$2:$F$202,6,FALSE)</f>
        <v>0</v>
      </c>
      <c r="M46">
        <f t="shared" si="20"/>
        <v>0</v>
      </c>
      <c r="N46">
        <f t="shared" si="21"/>
        <v>0</v>
      </c>
      <c r="O46">
        <f t="shared" si="22"/>
        <v>0</v>
      </c>
      <c r="P46">
        <f>IF($M46&lt;&gt;0,SUM($M$5:$M46),0)</f>
        <v>0</v>
      </c>
      <c r="Q46">
        <f>IF($N46&lt;&gt;0,SUM($N$5:$N46)+15,0)</f>
        <v>0</v>
      </c>
      <c r="R46">
        <f>IF($O46&lt;&gt;0,SUM($O$6:$O46)+30,0)</f>
        <v>0</v>
      </c>
      <c r="S46">
        <f t="shared" si="23"/>
        <v>0</v>
      </c>
      <c r="T46">
        <f t="shared" si="24"/>
        <v>0</v>
      </c>
      <c r="U46">
        <f t="shared" si="25"/>
        <v>0</v>
      </c>
      <c r="V46" s="17" t="e">
        <f>VLOOKUP($D46,UKdata!$A$2:$F$49,6,FALSE)</f>
        <v>#N/A</v>
      </c>
    </row>
    <row r="47" spans="1:22" ht="13.5" customHeight="1">
      <c r="A47" s="8" t="str">
        <f t="shared" si="19"/>
        <v>Ord33</v>
      </c>
      <c r="C47" s="3" t="s">
        <v>3</v>
      </c>
      <c r="D47" s="3" t="s">
        <v>192</v>
      </c>
      <c r="E47" t="str">
        <f>VLOOKUP($D47,UKdata!$A$2:$E$202,2,FALSE)</f>
        <v>2 25pdr field guns</v>
      </c>
      <c r="F47">
        <f>IF($C47="Reg-8",VLOOKUP($D47,UKdata!$A$2:$E$202,3,FALSE),0)</f>
        <v>0</v>
      </c>
      <c r="G47">
        <f>IF($C47="Exp-8",VLOOKUP($D47,UKdata!$A$2:$E$202,4,FALSE),0)</f>
        <v>0</v>
      </c>
      <c r="H47">
        <f>IF($C47="Vet-9",VLOOKUP($D47,UKdata!$A$2:$E$202,5,FALSE),0)</f>
        <v>80</v>
      </c>
      <c r="I47">
        <f t="shared" si="26"/>
        <v>80</v>
      </c>
      <c r="J47" s="3" t="s">
        <v>42</v>
      </c>
      <c r="K47" s="17">
        <f>VLOOKUP($D47,UKdata!$A$2:$F$202,6,FALSE)</f>
        <v>-1</v>
      </c>
      <c r="M47">
        <f t="shared" si="20"/>
        <v>0</v>
      </c>
      <c r="N47">
        <f t="shared" si="21"/>
        <v>0</v>
      </c>
      <c r="O47">
        <f t="shared" si="22"/>
        <v>1</v>
      </c>
      <c r="P47">
        <f>IF($M47&lt;&gt;0,SUM($M$5:$M47),0)</f>
        <v>0</v>
      </c>
      <c r="Q47">
        <f>IF($N47&lt;&gt;0,SUM($N$5:$N47)+15,0)</f>
        <v>0</v>
      </c>
      <c r="R47">
        <f>IF($O47&lt;&gt;0,SUM($O$6:$O47)+30,0)</f>
        <v>33</v>
      </c>
      <c r="S47">
        <f t="shared" si="23"/>
        <v>0</v>
      </c>
      <c r="T47">
        <f t="shared" si="24"/>
        <v>0</v>
      </c>
      <c r="U47">
        <f t="shared" si="25"/>
        <v>80</v>
      </c>
      <c r="V47" s="17" t="e">
        <f>VLOOKUP($D47,UKdata!$A$2:$F$49,6,FALSE)</f>
        <v>#N/A</v>
      </c>
    </row>
    <row r="48" spans="1:22" ht="12.75">
      <c r="A48" s="8">
        <f t="shared" si="19"/>
        <v>0</v>
      </c>
      <c r="C48" s="3" t="s">
        <v>3</v>
      </c>
      <c r="D48" s="3" t="s">
        <v>211</v>
      </c>
      <c r="E48">
        <f>VLOOKUP($D48,UKdata!$A$2:$E$202,2,FALSE)</f>
        <v>0</v>
      </c>
      <c r="F48">
        <f>IF($C48="Reg-8",VLOOKUP($D48,UKdata!$A$2:$E$202,3,FALSE),0)</f>
        <v>0</v>
      </c>
      <c r="G48">
        <f>IF($C48="Exp-8",VLOOKUP($D48,UKdata!$A$2:$E$202,4,FALSE),0)</f>
        <v>0</v>
      </c>
      <c r="H48">
        <f>IF($C48="Vet-9",VLOOKUP($D48,UKdata!$A$2:$E$202,5,FALSE),0)</f>
        <v>0</v>
      </c>
      <c r="I48">
        <f t="shared" si="26"/>
        <v>0</v>
      </c>
      <c r="J48" s="3">
        <v>0</v>
      </c>
      <c r="K48" s="17"/>
      <c r="M48">
        <f t="shared" si="20"/>
        <v>0</v>
      </c>
      <c r="N48">
        <f t="shared" si="21"/>
        <v>0</v>
      </c>
      <c r="O48">
        <f t="shared" si="22"/>
        <v>0</v>
      </c>
      <c r="P48">
        <f>IF($M48&lt;&gt;0,SUM($M$5:$M48),0)</f>
        <v>0</v>
      </c>
      <c r="Q48">
        <f>IF($N48&lt;&gt;0,SUM($N$5:$N48)+15,0)</f>
        <v>0</v>
      </c>
      <c r="R48">
        <f>IF($O48&lt;&gt;0,SUM($O$6:$O48)+30,0)</f>
        <v>0</v>
      </c>
      <c r="S48">
        <f t="shared" si="23"/>
        <v>0</v>
      </c>
      <c r="T48">
        <f t="shared" si="24"/>
        <v>0</v>
      </c>
      <c r="U48">
        <f t="shared" si="25"/>
        <v>0</v>
      </c>
      <c r="V48" s="17"/>
    </row>
    <row r="49" spans="1:22" ht="12.75">
      <c r="A49" s="8">
        <f t="shared" si="19"/>
        <v>0</v>
      </c>
      <c r="C49" s="3" t="s">
        <v>3</v>
      </c>
      <c r="D49" s="3" t="s">
        <v>212</v>
      </c>
      <c r="E49">
        <f>VLOOKUP($D49,UKdata!$A$2:$E$202,2,FALSE)</f>
        <v>0</v>
      </c>
      <c r="F49">
        <f>IF($C49="Reg-8",VLOOKUP($D49,UKdata!$A$2:$E$49,3,FALSE),0)</f>
        <v>0</v>
      </c>
      <c r="G49">
        <f>IF($C49="Exp-8",VLOOKUP($D49,UKdata!$A$2:$E$49,4,FALSE),0)</f>
        <v>0</v>
      </c>
      <c r="H49">
        <f>IF($C49="Vet-9",VLOOKUP($D49,UKdata!$A$2:$E$202,5,FALSE),0)</f>
        <v>0</v>
      </c>
      <c r="I49">
        <f t="shared" si="26"/>
        <v>0</v>
      </c>
      <c r="J49" s="3">
        <v>0</v>
      </c>
      <c r="K49" s="17"/>
      <c r="M49">
        <f t="shared" si="20"/>
        <v>0</v>
      </c>
      <c r="N49">
        <f t="shared" si="21"/>
        <v>0</v>
      </c>
      <c r="O49">
        <f t="shared" si="22"/>
        <v>0</v>
      </c>
      <c r="P49">
        <f>IF($M49&lt;&gt;0,SUM($M$5:$M49),0)</f>
        <v>0</v>
      </c>
      <c r="Q49">
        <f>IF($N49&lt;&gt;0,SUM($N$5:$N49)+15,0)</f>
        <v>0</v>
      </c>
      <c r="R49">
        <f>IF($O49&lt;&gt;0,SUM($O$6:$O49)+30,0)</f>
        <v>0</v>
      </c>
      <c r="S49">
        <f t="shared" si="23"/>
        <v>0</v>
      </c>
      <c r="T49">
        <f t="shared" si="24"/>
        <v>0</v>
      </c>
      <c r="U49">
        <f t="shared" si="25"/>
        <v>0</v>
      </c>
      <c r="V49" s="17"/>
    </row>
    <row r="50" spans="3:22" ht="12.75">
      <c r="C50" s="3" t="s">
        <v>3</v>
      </c>
      <c r="D50" s="3" t="s">
        <v>200</v>
      </c>
      <c r="E50">
        <f>VLOOKUP($D50,UKdata!$A$2:$E$202,2,FALSE)</f>
        <v>0</v>
      </c>
      <c r="F50">
        <f>IF($C50="Reg-8",VLOOKUP($D50,UKdata!$A$2:$E$202,3,FALSE),0)</f>
        <v>0</v>
      </c>
      <c r="G50">
        <f>IF($C50="Exp-8",VLOOKUP($D50,UKdata!$A$2:$E$202,4,FALSE),0)</f>
        <v>0</v>
      </c>
      <c r="H50">
        <f>IF($C50="Vet-9",VLOOKUP($D50,UKdata!$A$2:$E$202,5,FALSE),0)</f>
        <v>0</v>
      </c>
      <c r="I50">
        <f t="shared" si="26"/>
        <v>0</v>
      </c>
      <c r="J50" s="3">
        <v>0</v>
      </c>
      <c r="K50" s="17"/>
      <c r="M50">
        <f t="shared" si="20"/>
        <v>0</v>
      </c>
      <c r="N50">
        <f t="shared" si="21"/>
        <v>0</v>
      </c>
      <c r="O50">
        <f t="shared" si="22"/>
        <v>0</v>
      </c>
      <c r="P50">
        <f>IF($M50&lt;&gt;0,SUM($M$5:$M50),0)</f>
        <v>0</v>
      </c>
      <c r="Q50">
        <f>IF($N50&lt;&gt;0,SUM($N$5:$N50)+15,0)</f>
        <v>0</v>
      </c>
      <c r="R50">
        <f>IF($O50&lt;&gt;0,SUM($O$6:$O50)+30,0)</f>
        <v>0</v>
      </c>
      <c r="S50">
        <f t="shared" si="23"/>
        <v>0</v>
      </c>
      <c r="T50">
        <f t="shared" si="24"/>
        <v>0</v>
      </c>
      <c r="U50">
        <f t="shared" si="25"/>
        <v>0</v>
      </c>
      <c r="V50" s="17"/>
    </row>
    <row r="51" spans="1:22" ht="15.75">
      <c r="A51" s="8" t="s">
        <v>26</v>
      </c>
      <c r="C51">
        <v>0</v>
      </c>
      <c r="D51" s="11">
        <f>IF(SUM(K14:K50)&lt;-1,"Error - Dedicated arty limited to HQ units",0)</f>
        <v>0</v>
      </c>
      <c r="J51">
        <v>0</v>
      </c>
      <c r="M51">
        <f t="shared" si="20"/>
        <v>0</v>
      </c>
      <c r="N51">
        <f t="shared" si="21"/>
        <v>0</v>
      </c>
      <c r="O51">
        <f t="shared" si="22"/>
        <v>0</v>
      </c>
      <c r="P51">
        <f>IF($M51&lt;&gt;0,SUM($M$5:$M51),0)</f>
        <v>0</v>
      </c>
      <c r="Q51">
        <f>IF($N51&lt;&gt;0,SUM($N$5:$N51)+15,0)</f>
        <v>0</v>
      </c>
      <c r="R51">
        <f>IF($O51&lt;&gt;0,SUM($O$6:$O51)+30,0)</f>
        <v>0</v>
      </c>
      <c r="S51">
        <f t="shared" si="23"/>
        <v>0</v>
      </c>
      <c r="T51">
        <f t="shared" si="24"/>
        <v>0</v>
      </c>
      <c r="U51">
        <f t="shared" si="25"/>
        <v>0</v>
      </c>
      <c r="V51" s="17"/>
    </row>
    <row r="52" spans="1:22" ht="12.75">
      <c r="A52" s="8" t="s">
        <v>27</v>
      </c>
      <c r="C52">
        <v>0</v>
      </c>
      <c r="J52">
        <v>0</v>
      </c>
      <c r="M52">
        <f t="shared" si="20"/>
        <v>0</v>
      </c>
      <c r="N52">
        <f t="shared" si="21"/>
        <v>0</v>
      </c>
      <c r="O52">
        <f t="shared" si="22"/>
        <v>0</v>
      </c>
      <c r="P52">
        <f>IF($M52&lt;&gt;0,SUM($M$5:$M52),0)</f>
        <v>0</v>
      </c>
      <c r="Q52">
        <f>IF($N52&lt;&gt;0,SUM($N$5:$N52)+15,0)</f>
        <v>0</v>
      </c>
      <c r="R52">
        <f>IF($O52&lt;&gt;0,SUM($O$6:$O52)+30,0)</f>
        <v>0</v>
      </c>
      <c r="S52">
        <f t="shared" si="23"/>
        <v>0</v>
      </c>
      <c r="T52">
        <f t="shared" si="24"/>
        <v>0</v>
      </c>
      <c r="U52">
        <f t="shared" si="25"/>
        <v>0</v>
      </c>
      <c r="V52" s="17"/>
    </row>
    <row r="53" spans="1:22" ht="15" customHeight="1">
      <c r="A53" s="8" t="s">
        <v>28</v>
      </c>
      <c r="C53">
        <v>0</v>
      </c>
      <c r="J53">
        <v>0</v>
      </c>
      <c r="M53">
        <f t="shared" si="20"/>
        <v>0</v>
      </c>
      <c r="N53">
        <f t="shared" si="21"/>
        <v>0</v>
      </c>
      <c r="O53">
        <f t="shared" si="22"/>
        <v>0</v>
      </c>
      <c r="P53">
        <f>IF($M53&lt;&gt;0,SUM($M$5:$M53),0)</f>
        <v>0</v>
      </c>
      <c r="Q53">
        <f>IF($N53&lt;&gt;0,SUM($N$5:$N53)+15,0)</f>
        <v>0</v>
      </c>
      <c r="R53">
        <f>IF($O53&lt;&gt;0,SUM($O$6:$O53)+30,0)</f>
        <v>0</v>
      </c>
      <c r="S53">
        <f t="shared" si="23"/>
        <v>0</v>
      </c>
      <c r="T53">
        <f t="shared" si="24"/>
        <v>0</v>
      </c>
      <c r="U53">
        <f t="shared" si="25"/>
        <v>0</v>
      </c>
      <c r="V53" s="17"/>
    </row>
    <row r="54" spans="1:22" ht="15" customHeight="1">
      <c r="A54" s="8" t="s">
        <v>29</v>
      </c>
      <c r="C54">
        <v>0</v>
      </c>
      <c r="J54">
        <v>0</v>
      </c>
      <c r="V54" s="17"/>
    </row>
    <row r="55" spans="1:22" ht="15" customHeight="1">
      <c r="A55" s="8" t="s">
        <v>30</v>
      </c>
      <c r="C55">
        <v>0</v>
      </c>
      <c r="J55">
        <v>0</v>
      </c>
      <c r="V55" s="17"/>
    </row>
    <row r="56" spans="1:22" ht="15" customHeight="1" hidden="1">
      <c r="A56" s="8" t="s">
        <v>31</v>
      </c>
      <c r="C56">
        <v>0</v>
      </c>
      <c r="J56">
        <v>0</v>
      </c>
      <c r="V56" s="17"/>
    </row>
    <row r="57" spans="1:22" ht="15" customHeight="1" hidden="1">
      <c r="A57" s="8" t="s">
        <v>32</v>
      </c>
      <c r="C57">
        <v>0</v>
      </c>
      <c r="J57">
        <v>0</v>
      </c>
      <c r="V57" s="17"/>
    </row>
    <row r="58" spans="1:22" ht="15" customHeight="1" hidden="1">
      <c r="A58" s="8" t="s">
        <v>33</v>
      </c>
      <c r="J58">
        <v>0</v>
      </c>
      <c r="V58" s="17"/>
    </row>
    <row r="59" spans="1:22" ht="15" customHeight="1" hidden="1">
      <c r="A59" s="8" t="s">
        <v>34</v>
      </c>
      <c r="J59">
        <v>0</v>
      </c>
      <c r="V59" s="17"/>
    </row>
    <row r="60" spans="1:22" ht="15" customHeight="1" hidden="1">
      <c r="A60" s="8" t="s">
        <v>25</v>
      </c>
      <c r="J60">
        <v>0</v>
      </c>
      <c r="V60" s="17"/>
    </row>
    <row r="61" spans="1:22" ht="15" customHeight="1" hidden="1">
      <c r="A61" s="8" t="s">
        <v>24</v>
      </c>
      <c r="J61">
        <v>0</v>
      </c>
      <c r="V61" s="17"/>
    </row>
    <row r="62" spans="1:22" ht="15" customHeight="1" hidden="1">
      <c r="A62" s="8" t="s">
        <v>23</v>
      </c>
      <c r="J62">
        <v>0</v>
      </c>
      <c r="V62" s="17"/>
    </row>
    <row r="63" spans="1:22" ht="15" customHeight="1" hidden="1">
      <c r="A63" s="8" t="s">
        <v>22</v>
      </c>
      <c r="J63">
        <v>0</v>
      </c>
      <c r="V63" s="17"/>
    </row>
    <row r="64" spans="1:22" ht="15" customHeight="1" hidden="1">
      <c r="A64" s="8" t="s">
        <v>21</v>
      </c>
      <c r="J64">
        <v>0</v>
      </c>
      <c r="V64" s="17"/>
    </row>
    <row r="65" spans="1:22" ht="15" customHeight="1" hidden="1">
      <c r="A65" s="8" t="s">
        <v>20</v>
      </c>
      <c r="J65">
        <v>0</v>
      </c>
      <c r="V65" s="17"/>
    </row>
    <row r="66" spans="1:22" ht="15" customHeight="1" hidden="1">
      <c r="A66" s="8" t="s">
        <v>35</v>
      </c>
      <c r="J66">
        <v>0</v>
      </c>
      <c r="V66" s="17"/>
    </row>
    <row r="67" spans="1:22" ht="15" customHeight="1" hidden="1">
      <c r="A67" s="8" t="s">
        <v>36</v>
      </c>
      <c r="J67">
        <v>0</v>
      </c>
      <c r="V67" s="17"/>
    </row>
    <row r="68" spans="1:22" ht="15" customHeight="1" hidden="1">
      <c r="A68" s="8" t="s">
        <v>37</v>
      </c>
      <c r="J68">
        <v>0</v>
      </c>
      <c r="V68" s="17"/>
    </row>
    <row r="69" spans="1:22" ht="15" customHeight="1" hidden="1">
      <c r="A69" s="8" t="s">
        <v>38</v>
      </c>
      <c r="V69" s="17"/>
    </row>
    <row r="70" spans="1:22" ht="15" customHeight="1" hidden="1">
      <c r="A70" s="8" t="s">
        <v>39</v>
      </c>
      <c r="V70" s="17"/>
    </row>
    <row r="71" spans="1:22" ht="15" customHeight="1" hidden="1">
      <c r="A71" s="8" t="s">
        <v>46</v>
      </c>
      <c r="V71" s="17"/>
    </row>
    <row r="72" spans="1:22" ht="15" customHeight="1" hidden="1">
      <c r="A72" s="8" t="s">
        <v>47</v>
      </c>
      <c r="V72" s="17"/>
    </row>
    <row r="73" spans="1:22" ht="15" customHeight="1" hidden="1">
      <c r="A73" s="8" t="s">
        <v>48</v>
      </c>
      <c r="V73" s="17"/>
    </row>
    <row r="74" spans="1:22" ht="15" customHeight="1" hidden="1">
      <c r="A74" s="8" t="s">
        <v>49</v>
      </c>
      <c r="V74" s="17"/>
    </row>
    <row r="75" spans="1:22" ht="15" customHeight="1" hidden="1">
      <c r="A75" s="8" t="s">
        <v>50</v>
      </c>
      <c r="V75" s="17"/>
    </row>
    <row r="76" spans="1:22" ht="15" customHeight="1" hidden="1">
      <c r="A76" s="8" t="s">
        <v>51</v>
      </c>
      <c r="V76" s="17"/>
    </row>
    <row r="77" spans="1:22" ht="15" customHeight="1" hidden="1">
      <c r="A77" s="8" t="s">
        <v>52</v>
      </c>
      <c r="V77" s="17"/>
    </row>
    <row r="78" spans="1:22" ht="15" customHeight="1" hidden="1">
      <c r="A78" s="8" t="s">
        <v>53</v>
      </c>
      <c r="V78" s="17"/>
    </row>
    <row r="79" spans="1:22" ht="15" customHeight="1" hidden="1">
      <c r="A79" s="8" t="s">
        <v>54</v>
      </c>
      <c r="V79" s="17"/>
    </row>
    <row r="80" spans="1:22" ht="15" customHeight="1" hidden="1">
      <c r="A80" s="8" t="s">
        <v>55</v>
      </c>
      <c r="V80" s="17"/>
    </row>
    <row r="81" spans="1:22" ht="15" customHeight="1" hidden="1">
      <c r="A81" s="8" t="s">
        <v>64</v>
      </c>
      <c r="V81" s="17"/>
    </row>
    <row r="82" spans="1:22" ht="15" customHeight="1" hidden="1">
      <c r="A82" s="8" t="s">
        <v>65</v>
      </c>
      <c r="V82" s="17"/>
    </row>
    <row r="83" spans="1:22" ht="15" customHeight="1" hidden="1">
      <c r="A83" s="8" t="s">
        <v>66</v>
      </c>
      <c r="V83" s="17"/>
    </row>
    <row r="84" spans="1:22" ht="15" customHeight="1" hidden="1">
      <c r="A84" s="8" t="s">
        <v>67</v>
      </c>
      <c r="V84" s="17"/>
    </row>
    <row r="85" spans="1:22" ht="15" customHeight="1" hidden="1">
      <c r="A85" s="8" t="s">
        <v>68</v>
      </c>
      <c r="V85" s="17"/>
    </row>
    <row r="86" spans="1:22" ht="15" customHeight="1" hidden="1">
      <c r="A86" s="8" t="s">
        <v>69</v>
      </c>
      <c r="V86" s="17"/>
    </row>
    <row r="87" spans="1:22" ht="15" customHeight="1" hidden="1">
      <c r="A87" s="8" t="s">
        <v>70</v>
      </c>
      <c r="V87" s="17"/>
    </row>
    <row r="88" spans="1:22" ht="15" customHeight="1" hidden="1">
      <c r="A88" s="8" t="s">
        <v>71</v>
      </c>
      <c r="V88" s="17"/>
    </row>
    <row r="89" spans="1:22" ht="15" customHeight="1" hidden="1">
      <c r="A89" s="8" t="s">
        <v>72</v>
      </c>
      <c r="V89" s="17"/>
    </row>
    <row r="90" spans="1:22" ht="15" customHeight="1" hidden="1">
      <c r="A90" s="8" t="s">
        <v>73</v>
      </c>
      <c r="V90" s="17"/>
    </row>
    <row r="91" spans="1:22" ht="15" customHeight="1" hidden="1">
      <c r="A91" s="8" t="s">
        <v>74</v>
      </c>
      <c r="V91" s="17"/>
    </row>
    <row r="92" spans="1:22" ht="15" customHeight="1" hidden="1">
      <c r="A92" s="8" t="s">
        <v>75</v>
      </c>
      <c r="V92" s="17"/>
    </row>
    <row r="93" spans="1:22" ht="15" customHeight="1" hidden="1">
      <c r="A93" s="8" t="s">
        <v>76</v>
      </c>
      <c r="V93" s="17"/>
    </row>
    <row r="94" spans="1:22" ht="15" customHeight="1" hidden="1">
      <c r="A94" s="8" t="s">
        <v>77</v>
      </c>
      <c r="V94" s="17"/>
    </row>
    <row r="95" spans="1:22" ht="15" customHeight="1" hidden="1">
      <c r="A95" s="8" t="s">
        <v>78</v>
      </c>
      <c r="V95" s="17"/>
    </row>
    <row r="96" spans="1:22" ht="15" customHeight="1" hidden="1">
      <c r="A96" s="8" t="s">
        <v>79</v>
      </c>
      <c r="V96" s="17"/>
    </row>
    <row r="97" spans="1:22" ht="15" customHeight="1" hidden="1">
      <c r="A97" s="8" t="s">
        <v>80</v>
      </c>
      <c r="V97" s="17"/>
    </row>
    <row r="98" spans="1:22" ht="15" customHeight="1" hidden="1">
      <c r="A98" s="8" t="s">
        <v>81</v>
      </c>
      <c r="V98" s="17"/>
    </row>
    <row r="99" spans="3:22" ht="15" customHeight="1">
      <c r="C99" s="21" t="s">
        <v>82</v>
      </c>
      <c r="V99" s="17"/>
    </row>
    <row r="100" spans="4:22" ht="18">
      <c r="D100" s="26" t="s">
        <v>43</v>
      </c>
      <c r="V100" s="17"/>
    </row>
    <row r="101" spans="1:22" ht="12.75">
      <c r="A101" s="8" t="s">
        <v>20</v>
      </c>
      <c r="C101">
        <f aca="true" t="shared" si="27" ref="C101:C115">VLOOKUP($A101,$A$2:$E$99,3,FALSE)</f>
        <v>0</v>
      </c>
      <c r="D101">
        <f aca="true" t="shared" si="28" ref="D101:D115">VLOOKUP($A101,$A$2:$E$99,4,FALSE)</f>
        <v>0</v>
      </c>
      <c r="E101">
        <f aca="true" t="shared" si="29" ref="E101:E115">VLOOKUP($A101,$A$2:$E$99,5,FALSE)</f>
        <v>0</v>
      </c>
      <c r="V101" s="17"/>
    </row>
    <row r="102" spans="1:22" ht="12.75">
      <c r="A102" s="8" t="s">
        <v>21</v>
      </c>
      <c r="C102" t="str">
        <f t="shared" si="27"/>
        <v>Vet-9</v>
      </c>
      <c r="D102" t="str">
        <f t="shared" si="28"/>
        <v>Armoured Batt HQ (A13)</v>
      </c>
      <c r="E102" t="str">
        <f t="shared" si="29"/>
        <v>1 Cmd/A13</v>
      </c>
      <c r="V102" s="17"/>
    </row>
    <row r="103" spans="1:22" ht="12.75">
      <c r="A103" s="8" t="s">
        <v>22</v>
      </c>
      <c r="C103">
        <f t="shared" si="27"/>
        <v>0</v>
      </c>
      <c r="D103" t="str">
        <f t="shared" si="28"/>
        <v>Batt support A13</v>
      </c>
      <c r="E103" t="str">
        <f t="shared" si="29"/>
        <v>1 A10 CS tank</v>
      </c>
      <c r="V103" s="17"/>
    </row>
    <row r="104" spans="1:22" ht="12.75">
      <c r="A104" s="8" t="s">
        <v>23</v>
      </c>
      <c r="C104">
        <f t="shared" si="27"/>
        <v>0</v>
      </c>
      <c r="D104" t="str">
        <f t="shared" si="28"/>
        <v>core A13 cruiser squadron</v>
      </c>
      <c r="E104" t="str">
        <f t="shared" si="29"/>
        <v>1 Cmd/A13, 1 A13</v>
      </c>
      <c r="V104" s="17"/>
    </row>
    <row r="105" spans="1:22" ht="12.75">
      <c r="A105" s="8" t="s">
        <v>24</v>
      </c>
      <c r="C105">
        <f t="shared" si="27"/>
        <v>0</v>
      </c>
      <c r="D105" t="str">
        <f t="shared" si="28"/>
        <v>core A13 cruiser squadron</v>
      </c>
      <c r="E105" t="str">
        <f t="shared" si="29"/>
        <v>1 Cmd/A13, 1 A13</v>
      </c>
      <c r="V105" s="17"/>
    </row>
    <row r="106" spans="1:22" ht="12.75">
      <c r="A106" s="8" t="s">
        <v>25</v>
      </c>
      <c r="C106">
        <f t="shared" si="27"/>
        <v>0</v>
      </c>
      <c r="D106" t="str">
        <f t="shared" si="28"/>
        <v>A13 Light sq</v>
      </c>
      <c r="E106" t="str">
        <f t="shared" si="29"/>
        <v>1 Cmd/A13, 1 A13</v>
      </c>
      <c r="V106" s="17"/>
    </row>
    <row r="107" spans="1:22" ht="12.75">
      <c r="A107" s="8" t="s">
        <v>26</v>
      </c>
      <c r="C107">
        <f t="shared" si="27"/>
        <v>0</v>
      </c>
      <c r="D107">
        <f t="shared" si="28"/>
        <v>0</v>
      </c>
      <c r="E107">
        <f t="shared" si="29"/>
        <v>0</v>
      </c>
      <c r="V107" s="17"/>
    </row>
    <row r="108" spans="1:22" ht="12.75">
      <c r="A108" s="8" t="s">
        <v>27</v>
      </c>
      <c r="C108">
        <f t="shared" si="27"/>
        <v>0</v>
      </c>
      <c r="D108">
        <f t="shared" si="28"/>
        <v>0</v>
      </c>
      <c r="E108">
        <f t="shared" si="29"/>
        <v>0</v>
      </c>
      <c r="V108" s="17"/>
    </row>
    <row r="109" spans="1:22" ht="12.75">
      <c r="A109" s="8" t="s">
        <v>28</v>
      </c>
      <c r="C109">
        <f t="shared" si="27"/>
        <v>0</v>
      </c>
      <c r="D109">
        <f t="shared" si="28"/>
        <v>0</v>
      </c>
      <c r="E109">
        <f t="shared" si="29"/>
        <v>0</v>
      </c>
      <c r="V109" s="17"/>
    </row>
    <row r="110" spans="1:22" ht="12.75">
      <c r="A110" s="8" t="s">
        <v>29</v>
      </c>
      <c r="C110">
        <f t="shared" si="27"/>
        <v>0</v>
      </c>
      <c r="D110">
        <f t="shared" si="28"/>
        <v>0</v>
      </c>
      <c r="E110">
        <f t="shared" si="29"/>
        <v>0</v>
      </c>
      <c r="V110" s="17"/>
    </row>
    <row r="111" spans="1:22" ht="12.75">
      <c r="A111" s="8" t="s">
        <v>30</v>
      </c>
      <c r="C111">
        <f t="shared" si="27"/>
        <v>0</v>
      </c>
      <c r="D111">
        <f t="shared" si="28"/>
        <v>0</v>
      </c>
      <c r="E111">
        <f t="shared" si="29"/>
        <v>0</v>
      </c>
      <c r="V111" s="17"/>
    </row>
    <row r="112" spans="1:22" ht="12.75">
      <c r="A112" s="8" t="s">
        <v>31</v>
      </c>
      <c r="C112">
        <f t="shared" si="27"/>
        <v>0</v>
      </c>
      <c r="D112">
        <f t="shared" si="28"/>
        <v>0</v>
      </c>
      <c r="E112">
        <f t="shared" si="29"/>
        <v>0</v>
      </c>
      <c r="V112" s="17"/>
    </row>
    <row r="113" spans="1:22" ht="12.75">
      <c r="A113" s="8" t="s">
        <v>32</v>
      </c>
      <c r="C113">
        <f t="shared" si="27"/>
        <v>0</v>
      </c>
      <c r="D113">
        <f t="shared" si="28"/>
        <v>0</v>
      </c>
      <c r="E113">
        <f t="shared" si="29"/>
        <v>0</v>
      </c>
      <c r="V113" s="17"/>
    </row>
    <row r="114" spans="1:22" ht="12.75">
      <c r="A114" s="8" t="s">
        <v>33</v>
      </c>
      <c r="C114">
        <f t="shared" si="27"/>
        <v>0</v>
      </c>
      <c r="D114">
        <f t="shared" si="28"/>
        <v>0</v>
      </c>
      <c r="E114">
        <f t="shared" si="29"/>
        <v>0</v>
      </c>
      <c r="V114" s="17"/>
    </row>
    <row r="115" spans="1:22" ht="12.75">
      <c r="A115" s="8" t="s">
        <v>34</v>
      </c>
      <c r="C115">
        <f t="shared" si="27"/>
        <v>0</v>
      </c>
      <c r="D115">
        <f t="shared" si="28"/>
        <v>0</v>
      </c>
      <c r="E115">
        <f t="shared" si="29"/>
        <v>0</v>
      </c>
      <c r="V115" s="17"/>
    </row>
    <row r="116" spans="4:22" ht="18">
      <c r="D116" s="26" t="s">
        <v>44</v>
      </c>
      <c r="V116" s="17"/>
    </row>
    <row r="117" spans="1:5" ht="12.75">
      <c r="A117" s="8" t="s">
        <v>35</v>
      </c>
      <c r="C117" t="str">
        <f aca="true" t="shared" si="30" ref="C117:C131">VLOOKUP($A117,$A$2:$E$99,3,FALSE)</f>
        <v>Vet-9</v>
      </c>
      <c r="D117" t="str">
        <f aca="true" t="shared" si="31" ref="D117:D131">VLOOKUP($A117,$A$2:$E$99,4,FALSE)</f>
        <v>A13 platoon</v>
      </c>
      <c r="E117" t="str">
        <f aca="true" t="shared" si="32" ref="E117:E131">VLOOKUP($A117,$A$2:$E$99,5,FALSE)</f>
        <v>1 A13</v>
      </c>
    </row>
    <row r="118" spans="1:5" ht="12.75">
      <c r="A118" s="8" t="s">
        <v>36</v>
      </c>
      <c r="C118" t="str">
        <f t="shared" si="30"/>
        <v>Vet-9</v>
      </c>
      <c r="D118" t="str">
        <f t="shared" si="31"/>
        <v>A13 platoon</v>
      </c>
      <c r="E118" t="str">
        <f t="shared" si="32"/>
        <v>1 A13</v>
      </c>
    </row>
    <row r="119" spans="1:5" ht="12.75">
      <c r="A119" s="8" t="s">
        <v>37</v>
      </c>
      <c r="C119" t="str">
        <f t="shared" si="30"/>
        <v>Vet-9</v>
      </c>
      <c r="D119" t="str">
        <f t="shared" si="31"/>
        <v>A13 platoon</v>
      </c>
      <c r="E119" t="str">
        <f t="shared" si="32"/>
        <v>1 A13</v>
      </c>
    </row>
    <row r="120" spans="1:5" ht="12.75">
      <c r="A120" s="8" t="s">
        <v>38</v>
      </c>
      <c r="C120" t="str">
        <f t="shared" si="30"/>
        <v>Vet-9</v>
      </c>
      <c r="D120" t="str">
        <f t="shared" si="31"/>
        <v>A13 platoon</v>
      </c>
      <c r="E120" t="str">
        <f t="shared" si="32"/>
        <v>1 A13</v>
      </c>
    </row>
    <row r="121" spans="1:5" ht="12.75">
      <c r="A121" s="8" t="s">
        <v>39</v>
      </c>
      <c r="C121" t="str">
        <f t="shared" si="30"/>
        <v>Exp-8</v>
      </c>
      <c r="D121" t="str">
        <f t="shared" si="31"/>
        <v>2pdr AT Battery</v>
      </c>
      <c r="E121" t="str">
        <f t="shared" si="32"/>
        <v>1 Cmd/inf std, 1 light truck, 2 2pdr Bofors AT guns portee</v>
      </c>
    </row>
    <row r="122" spans="1:5" ht="12.75">
      <c r="A122" s="8" t="s">
        <v>46</v>
      </c>
      <c r="C122">
        <f t="shared" si="30"/>
        <v>0</v>
      </c>
      <c r="D122">
        <f t="shared" si="31"/>
        <v>0</v>
      </c>
      <c r="E122">
        <f t="shared" si="32"/>
        <v>0</v>
      </c>
    </row>
    <row r="123" spans="1:5" ht="12.75">
      <c r="A123" s="8" t="s">
        <v>47</v>
      </c>
      <c r="C123">
        <f t="shared" si="30"/>
        <v>0</v>
      </c>
      <c r="D123">
        <f t="shared" si="31"/>
        <v>0</v>
      </c>
      <c r="E123">
        <f t="shared" si="32"/>
        <v>0</v>
      </c>
    </row>
    <row r="124" spans="1:5" ht="12.75">
      <c r="A124" s="8" t="s">
        <v>48</v>
      </c>
      <c r="C124">
        <f t="shared" si="30"/>
        <v>0</v>
      </c>
      <c r="D124">
        <f t="shared" si="31"/>
        <v>0</v>
      </c>
      <c r="E124">
        <f t="shared" si="32"/>
        <v>0</v>
      </c>
    </row>
    <row r="125" spans="1:5" ht="12.75">
      <c r="A125" s="8" t="s">
        <v>49</v>
      </c>
      <c r="C125">
        <f t="shared" si="30"/>
        <v>0</v>
      </c>
      <c r="D125">
        <f t="shared" si="31"/>
        <v>0</v>
      </c>
      <c r="E125">
        <f t="shared" si="32"/>
        <v>0</v>
      </c>
    </row>
    <row r="126" spans="1:5" ht="12.75">
      <c r="A126" s="8" t="s">
        <v>50</v>
      </c>
      <c r="C126">
        <f t="shared" si="30"/>
        <v>0</v>
      </c>
      <c r="D126">
        <f t="shared" si="31"/>
        <v>0</v>
      </c>
      <c r="E126">
        <f t="shared" si="32"/>
        <v>0</v>
      </c>
    </row>
    <row r="127" spans="1:5" ht="12.75">
      <c r="A127" s="8" t="s">
        <v>51</v>
      </c>
      <c r="C127">
        <f t="shared" si="30"/>
        <v>0</v>
      </c>
      <c r="D127">
        <f t="shared" si="31"/>
        <v>0</v>
      </c>
      <c r="E127">
        <f t="shared" si="32"/>
        <v>0</v>
      </c>
    </row>
    <row r="128" spans="1:5" ht="12.75">
      <c r="A128" s="8" t="s">
        <v>52</v>
      </c>
      <c r="C128">
        <f t="shared" si="30"/>
        <v>0</v>
      </c>
      <c r="D128">
        <f t="shared" si="31"/>
        <v>0</v>
      </c>
      <c r="E128">
        <f t="shared" si="32"/>
        <v>0</v>
      </c>
    </row>
    <row r="129" spans="1:5" ht="12.75">
      <c r="A129" s="8" t="s">
        <v>53</v>
      </c>
      <c r="C129">
        <f t="shared" si="30"/>
        <v>0</v>
      </c>
      <c r="D129">
        <f t="shared" si="31"/>
        <v>0</v>
      </c>
      <c r="E129">
        <f t="shared" si="32"/>
        <v>0</v>
      </c>
    </row>
    <row r="130" spans="1:5" ht="12.75">
      <c r="A130" s="8" t="s">
        <v>54</v>
      </c>
      <c r="C130">
        <f t="shared" si="30"/>
        <v>0</v>
      </c>
      <c r="D130">
        <f t="shared" si="31"/>
        <v>0</v>
      </c>
      <c r="E130">
        <f t="shared" si="32"/>
        <v>0</v>
      </c>
    </row>
    <row r="131" spans="1:5" ht="12.75">
      <c r="A131" s="8" t="s">
        <v>55</v>
      </c>
      <c r="C131">
        <f t="shared" si="30"/>
        <v>0</v>
      </c>
      <c r="D131">
        <f t="shared" si="31"/>
        <v>0</v>
      </c>
      <c r="E131">
        <f t="shared" si="32"/>
        <v>0</v>
      </c>
    </row>
    <row r="132" ht="18">
      <c r="D132" s="26" t="s">
        <v>45</v>
      </c>
    </row>
    <row r="133" spans="1:5" ht="12.75">
      <c r="A133" s="8" t="s">
        <v>64</v>
      </c>
      <c r="C133" t="str">
        <f aca="true" t="shared" si="33" ref="C133:C147">VLOOKUP($A133,$A$2:$E$99,3,FALSE)</f>
        <v>Vet-9</v>
      </c>
      <c r="D133" t="str">
        <f aca="true" t="shared" si="34" ref="D133:D147">VLOOKUP($A133,$A$2:$E$99,4,FALSE)</f>
        <v>A13 cruiser sq</v>
      </c>
      <c r="E133" t="str">
        <f aca="true" t="shared" si="35" ref="E133:E147">VLOOKUP($A133,$A$2:$E$99,5,FALSE)</f>
        <v>1 Cmd/A13, 1 A13</v>
      </c>
    </row>
    <row r="134" spans="1:5" ht="12.75">
      <c r="A134" s="8" t="s">
        <v>65</v>
      </c>
      <c r="C134" t="str">
        <f t="shared" si="33"/>
        <v>Vet-9</v>
      </c>
      <c r="D134" t="str">
        <f t="shared" si="34"/>
        <v>Strong Motor Co with ATR</v>
      </c>
      <c r="E134" t="str">
        <f t="shared" si="35"/>
        <v>1 Cmd/inf/Boys std, 2 inf/ATR std, 3 light trucks, 1 recon/LMG std, 1 carrier</v>
      </c>
    </row>
    <row r="135" spans="1:5" ht="12.75">
      <c r="A135" s="8" t="s">
        <v>66</v>
      </c>
      <c r="C135" t="str">
        <f t="shared" si="33"/>
        <v>Vet-9</v>
      </c>
      <c r="D135" t="str">
        <f t="shared" si="34"/>
        <v>upgraded Dedicated off-Arty</v>
      </c>
      <c r="E135" t="str">
        <f t="shared" si="35"/>
        <v>2 25pdr field guns</v>
      </c>
    </row>
    <row r="136" spans="1:5" ht="12.75">
      <c r="A136" s="8" t="s">
        <v>67</v>
      </c>
      <c r="C136">
        <f t="shared" si="33"/>
        <v>0</v>
      </c>
      <c r="D136">
        <f t="shared" si="34"/>
        <v>0</v>
      </c>
      <c r="E136">
        <f t="shared" si="35"/>
        <v>0</v>
      </c>
    </row>
    <row r="137" spans="1:5" ht="12.75">
      <c r="A137" s="8" t="s">
        <v>68</v>
      </c>
      <c r="C137">
        <f t="shared" si="33"/>
        <v>0</v>
      </c>
      <c r="D137">
        <f t="shared" si="34"/>
        <v>0</v>
      </c>
      <c r="E137">
        <f t="shared" si="35"/>
        <v>0</v>
      </c>
    </row>
    <row r="138" spans="1:5" ht="12.75">
      <c r="A138" s="8" t="s">
        <v>69</v>
      </c>
      <c r="C138">
        <f t="shared" si="33"/>
        <v>0</v>
      </c>
      <c r="D138">
        <f t="shared" si="34"/>
        <v>0</v>
      </c>
      <c r="E138">
        <f t="shared" si="35"/>
        <v>0</v>
      </c>
    </row>
    <row r="139" spans="1:5" ht="12.75">
      <c r="A139" s="8" t="s">
        <v>70</v>
      </c>
      <c r="C139">
        <f t="shared" si="33"/>
        <v>0</v>
      </c>
      <c r="D139">
        <f t="shared" si="34"/>
        <v>0</v>
      </c>
      <c r="E139">
        <f t="shared" si="35"/>
        <v>0</v>
      </c>
    </row>
    <row r="140" spans="1:5" ht="12.75">
      <c r="A140" s="8" t="s">
        <v>71</v>
      </c>
      <c r="C140">
        <f t="shared" si="33"/>
        <v>0</v>
      </c>
      <c r="D140">
        <f t="shared" si="34"/>
        <v>0</v>
      </c>
      <c r="E140">
        <f t="shared" si="35"/>
        <v>0</v>
      </c>
    </row>
    <row r="141" spans="1:5" ht="12.75">
      <c r="A141" s="8" t="s">
        <v>72</v>
      </c>
      <c r="C141">
        <f t="shared" si="33"/>
        <v>0</v>
      </c>
      <c r="D141">
        <f t="shared" si="34"/>
        <v>0</v>
      </c>
      <c r="E141">
        <f t="shared" si="35"/>
        <v>0</v>
      </c>
    </row>
    <row r="142" spans="1:5" ht="12.75">
      <c r="A142" s="8" t="s">
        <v>73</v>
      </c>
      <c r="C142">
        <f t="shared" si="33"/>
        <v>0</v>
      </c>
      <c r="D142">
        <f t="shared" si="34"/>
        <v>0</v>
      </c>
      <c r="E142">
        <f t="shared" si="35"/>
        <v>0</v>
      </c>
    </row>
    <row r="143" spans="1:5" ht="12.75">
      <c r="A143" s="8" t="s">
        <v>74</v>
      </c>
      <c r="C143">
        <f t="shared" si="33"/>
        <v>0</v>
      </c>
      <c r="D143">
        <f t="shared" si="34"/>
        <v>0</v>
      </c>
      <c r="E143">
        <f t="shared" si="35"/>
        <v>0</v>
      </c>
    </row>
    <row r="144" spans="1:5" ht="12.75">
      <c r="A144" s="8" t="s">
        <v>75</v>
      </c>
      <c r="C144">
        <f t="shared" si="33"/>
        <v>0</v>
      </c>
      <c r="D144">
        <f t="shared" si="34"/>
        <v>0</v>
      </c>
      <c r="E144">
        <f t="shared" si="35"/>
        <v>0</v>
      </c>
    </row>
    <row r="145" spans="1:5" ht="12.75">
      <c r="A145" s="8" t="s">
        <v>76</v>
      </c>
      <c r="C145">
        <f t="shared" si="33"/>
        <v>0</v>
      </c>
      <c r="D145">
        <f t="shared" si="34"/>
        <v>0</v>
      </c>
      <c r="E145">
        <f t="shared" si="35"/>
        <v>0</v>
      </c>
    </row>
    <row r="146" spans="1:5" ht="12.75">
      <c r="A146" s="8" t="s">
        <v>77</v>
      </c>
      <c r="C146">
        <f t="shared" si="33"/>
        <v>0</v>
      </c>
      <c r="D146">
        <f t="shared" si="34"/>
        <v>0</v>
      </c>
      <c r="E146">
        <f t="shared" si="35"/>
        <v>0</v>
      </c>
    </row>
    <row r="147" spans="1:5" ht="12.75">
      <c r="A147" s="8" t="s">
        <v>78</v>
      </c>
      <c r="C147">
        <f t="shared" si="33"/>
        <v>0</v>
      </c>
      <c r="D147">
        <f t="shared" si="34"/>
        <v>0</v>
      </c>
      <c r="E147">
        <f t="shared" si="35"/>
        <v>0</v>
      </c>
    </row>
  </sheetData>
  <dataValidations count="24">
    <dataValidation type="list" allowBlank="1" showInputMessage="1" showErrorMessage="1" prompt="&#10;" sqref="J28:J35 J42:J50 J38:J39 J13:J15 J18:J26">
      <formula1>force</formula1>
    </dataValidation>
    <dataValidation type="list" allowBlank="1" showInputMessage="1" showErrorMessage="1" sqref="C14:C16 C38:C39 C28:C35 E5 C18:C26">
      <formula1>qu1</formula1>
    </dataValidation>
    <dataValidation type="list" allowBlank="1" showInputMessage="1" showErrorMessage="1" sqref="D42:D44">
      <formula1>art1</formula1>
    </dataValidation>
    <dataValidation type="list" allowBlank="1" showInputMessage="1" showErrorMessage="1" sqref="D45:D47">
      <formula1>art2</formula1>
    </dataValidation>
    <dataValidation type="list" allowBlank="1" showInputMessage="1" showErrorMessage="1" sqref="D48">
      <formula1>art3</formula1>
    </dataValidation>
    <dataValidation type="list" allowBlank="1" showInputMessage="1" showErrorMessage="1" sqref="D49">
      <formula1>art4</formula1>
    </dataValidation>
    <dataValidation type="list" allowBlank="1" showInputMessage="1" showErrorMessage="1" sqref="D50">
      <formula1>art5</formula1>
    </dataValidation>
    <dataValidation type="list" allowBlank="1" showInputMessage="1" showErrorMessage="1" sqref="D38">
      <formula1>acsq</formula1>
    </dataValidation>
    <dataValidation type="list" allowBlank="1" showInputMessage="1" showErrorMessage="1" sqref="D35">
      <formula1>aaco</formula1>
    </dataValidation>
    <dataValidation type="list" allowBlank="1" showInputMessage="1" showErrorMessage="1" sqref="D31:D32">
      <formula1>att</formula1>
    </dataValidation>
    <dataValidation type="list" allowBlank="1" showInputMessage="1" showErrorMessage="1" sqref="D29:D30">
      <formula1>atb</formula1>
    </dataValidation>
    <dataValidation type="list" allowBlank="1" showInputMessage="1" showErrorMessage="1" sqref="D33">
      <formula1>engco</formula1>
    </dataValidation>
    <dataValidation type="list" allowBlank="1" showInputMessage="1" showErrorMessage="1" sqref="D34">
      <formula1>engpl</formula1>
    </dataValidation>
    <dataValidation type="list" allowBlank="1" showInputMessage="1" showErrorMessage="1" sqref="D28">
      <formula1>moco</formula1>
    </dataValidation>
    <dataValidation type="list" allowBlank="1" showInputMessage="1" showErrorMessage="1" sqref="D39">
      <formula1>actr</formula1>
    </dataValidation>
    <dataValidation type="list" allowBlank="1" showInputMessage="1" showErrorMessage="1" sqref="D18:D21">
      <formula1>crsq</formula1>
    </dataValidation>
    <dataValidation type="list" allowBlank="1" showInputMessage="1" showErrorMessage="1" sqref="D13">
      <formula1>armbrig</formula1>
    </dataValidation>
    <dataValidation type="list" allowBlank="1" showInputMessage="1" showErrorMessage="1" sqref="D14:D15">
      <formula1>armb2</formula1>
    </dataValidation>
    <dataValidation type="list" allowBlank="1" showInputMessage="1" showErrorMessage="1" prompt="Select Force for entire Core Battle Group&#10;" sqref="J5">
      <formula1>hhh</formula1>
    </dataValidation>
    <dataValidation type="list" allowBlank="1" showInputMessage="1" showErrorMessage="1" sqref="D6">
      <formula1>armbatthq21</formula1>
    </dataValidation>
    <dataValidation type="list" allowBlank="1" showInputMessage="1" showErrorMessage="1" sqref="D7">
      <formula1>battrec2</formula1>
    </dataValidation>
    <dataValidation type="list" allowBlank="1" showInputMessage="1" showErrorMessage="1" sqref="D8:D9">
      <formula1>crsq2</formula1>
    </dataValidation>
    <dataValidation type="list" allowBlank="1" showInputMessage="1" showErrorMessage="1" sqref="D10">
      <formula1>ltsq</formula1>
    </dataValidation>
    <dataValidation type="list" allowBlank="1" showInputMessage="1" showErrorMessage="1" sqref="D22:D26">
      <formula1>armpl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53"/>
  <sheetViews>
    <sheetView showZeros="0" workbookViewId="0" topLeftCell="A1">
      <pane ySplit="3" topLeftCell="BM4" activePane="bottomLeft" state="frozen"/>
      <selection pane="topLeft" activeCell="B1" sqref="B1"/>
      <selection pane="bottomLeft" activeCell="L1" sqref="L1:U16384"/>
    </sheetView>
  </sheetViews>
  <sheetFormatPr defaultColWidth="9.140625" defaultRowHeight="12.75"/>
  <cols>
    <col min="1" max="1" width="4.421875" style="8" hidden="1" customWidth="1"/>
    <col min="2" max="2" width="3.140625" style="0" customWidth="1"/>
    <col min="3" max="3" width="6.7109375" style="0" customWidth="1"/>
    <col min="4" max="4" width="38.28125" style="0" customWidth="1"/>
    <col min="5" max="5" width="58.8515625" style="0" customWidth="1"/>
    <col min="6" max="8" width="14.57421875" style="0" hidden="1" customWidth="1"/>
    <col min="9" max="9" width="5.8515625" style="0" customWidth="1"/>
    <col min="10" max="10" width="10.421875" style="0" customWidth="1"/>
    <col min="12" max="21" width="9.140625" style="0" hidden="1" customWidth="1"/>
    <col min="22" max="22" width="6.7109375" style="0" customWidth="1"/>
  </cols>
  <sheetData>
    <row r="1" spans="4:23" ht="18">
      <c r="D1" s="1" t="s">
        <v>316</v>
      </c>
      <c r="E1" s="9" t="s">
        <v>56</v>
      </c>
      <c r="G1" s="10"/>
      <c r="H1" s="11">
        <f>IF(F1&gt;G1,"Error!",0)</f>
        <v>0</v>
      </c>
      <c r="I1">
        <f>SUM($S$2:$S$59)</f>
        <v>510</v>
      </c>
      <c r="J1" s="10">
        <v>525</v>
      </c>
      <c r="K1" s="11">
        <f>IF(I1&gt;J1,"Error!",0)</f>
        <v>0</v>
      </c>
      <c r="M1" t="s">
        <v>57</v>
      </c>
      <c r="N1" t="s">
        <v>58</v>
      </c>
      <c r="O1" t="s">
        <v>59</v>
      </c>
      <c r="P1" t="s">
        <v>57</v>
      </c>
      <c r="Q1" t="s">
        <v>58</v>
      </c>
      <c r="R1" t="s">
        <v>59</v>
      </c>
      <c r="S1" t="s">
        <v>57</v>
      </c>
      <c r="T1" t="s">
        <v>58</v>
      </c>
      <c r="U1" t="s">
        <v>59</v>
      </c>
      <c r="V1" s="12" t="s">
        <v>60</v>
      </c>
      <c r="W1" s="5">
        <f>SUM($I15:$I56)+$I5</f>
        <v>1425</v>
      </c>
    </row>
    <row r="2" spans="5:11" ht="15.75">
      <c r="E2" s="9" t="s">
        <v>41</v>
      </c>
      <c r="G2" s="10"/>
      <c r="H2" s="11">
        <f>IF((F1+F2)&gt;(G1+G2),"Error!",0)</f>
        <v>0</v>
      </c>
      <c r="I2">
        <f>SUM($T$2:$T$59)</f>
        <v>450</v>
      </c>
      <c r="J2" s="10">
        <v>450</v>
      </c>
      <c r="K2" s="11">
        <f>IF(I1+I2&gt;J1+J2,"Error!",0)</f>
        <v>0</v>
      </c>
    </row>
    <row r="3" spans="5:10" ht="12.75">
      <c r="E3" s="9" t="s">
        <v>42</v>
      </c>
      <c r="G3" s="10"/>
      <c r="I3">
        <f>SUM($U$2:$U$59)</f>
        <v>465</v>
      </c>
      <c r="J3" s="10">
        <v>450</v>
      </c>
    </row>
    <row r="4" ht="12.75">
      <c r="C4" s="13" t="s">
        <v>4</v>
      </c>
    </row>
    <row r="5" spans="1:22" ht="12.75">
      <c r="A5" s="8" t="str">
        <f aca="true" t="shared" si="0" ref="A5:A10">IF(M5=1,"Ord"&amp;P5,IF(N5=1,"Ord"&amp;Q5,IF(O5=1,"Ord"&amp;R5,IF(I5&gt;0,"E",0))))</f>
        <v>Ord</v>
      </c>
      <c r="C5" s="14" t="str">
        <f>E5</f>
        <v>Reg-8</v>
      </c>
      <c r="E5" s="15" t="s">
        <v>1</v>
      </c>
      <c r="F5" s="16" t="str">
        <f>E5</f>
        <v>Reg-8</v>
      </c>
      <c r="I5">
        <f>VLOOKUP($F$5,UKdata!$A2:$G4,7,FALSE)+SUM(I6:I12)</f>
        <v>320</v>
      </c>
      <c r="J5" s="3" t="s">
        <v>40</v>
      </c>
      <c r="M5">
        <f>IF(J5="Holding",1,0)</f>
        <v>1</v>
      </c>
      <c r="N5">
        <f>IF(J5="Reserve",1,0)</f>
        <v>0</v>
      </c>
      <c r="O5">
        <f>IF(J5="Assault",1,0)</f>
        <v>0</v>
      </c>
      <c r="S5">
        <f>IF(M5&gt;0,$I5,0)</f>
        <v>320</v>
      </c>
      <c r="T5">
        <f>IF(N5&gt;0,$I5,0)</f>
        <v>0</v>
      </c>
      <c r="U5">
        <f>IF(O5&gt;0,$I5,0)</f>
        <v>0</v>
      </c>
      <c r="V5" s="17"/>
    </row>
    <row r="6" spans="1:22" ht="12.75">
      <c r="A6" s="8" t="str">
        <f t="shared" si="0"/>
        <v>Ord2</v>
      </c>
      <c r="C6" s="17" t="str">
        <f>E5</f>
        <v>Reg-8</v>
      </c>
      <c r="D6" s="23" t="s">
        <v>317</v>
      </c>
      <c r="E6" t="s">
        <v>318</v>
      </c>
      <c r="J6" s="27">
        <v>0</v>
      </c>
      <c r="M6">
        <f aca="true" t="shared" si="1" ref="M6:M12">IF($J$5=0,IF(J6="Holding",1,0),IF($J$5="Holding",1,0))</f>
        <v>1</v>
      </c>
      <c r="N6">
        <f aca="true" t="shared" si="2" ref="N6:N12">IF($J$5=0,IF(J6="Reserve",1,0),IF($J$5="Reserve",1,0))</f>
        <v>0</v>
      </c>
      <c r="O6">
        <f aca="true" t="shared" si="3" ref="O6:O12">IF($J$5=0,IF(K6="Assault",1,0),IF($J$5="Assault",1,0))</f>
        <v>0</v>
      </c>
      <c r="P6">
        <f>IF($M6&lt;&gt;0,SUM($M$5:$M6),0)</f>
        <v>2</v>
      </c>
      <c r="Q6">
        <f>IF($N6&lt;&gt;0,SUM($N$5:$N6)+15,0)</f>
        <v>0</v>
      </c>
      <c r="R6">
        <f>IF($O6&lt;&gt;0,SUM($O$6:$O6)+30,0)</f>
        <v>0</v>
      </c>
      <c r="S6">
        <f aca="true" t="shared" si="4" ref="S6:S12">IF($S$5=0,IF(M6&gt;0,$I6,0),0)</f>
        <v>0</v>
      </c>
      <c r="T6">
        <f aca="true" t="shared" si="5" ref="T6:T12">IF($T$5=0,IF(N6&gt;0,$I6,0),0)</f>
        <v>0</v>
      </c>
      <c r="U6">
        <f aca="true" t="shared" si="6" ref="U6:U13">IF($U$5=0,IF(O6&gt;0,$I6,0),0)</f>
        <v>0</v>
      </c>
      <c r="V6" s="17"/>
    </row>
    <row r="7" spans="1:22" ht="12.75">
      <c r="A7" s="8" t="str">
        <f t="shared" si="0"/>
        <v>Ord3</v>
      </c>
      <c r="C7" s="27" t="s">
        <v>3</v>
      </c>
      <c r="D7" s="19" t="s">
        <v>137</v>
      </c>
      <c r="E7" t="str">
        <f>VLOOKUP($D7,UKdata!$A$2:$E$402,2,FALSE)</f>
        <v>1 37mm Bofors AT gun portee</v>
      </c>
      <c r="H7">
        <f>VLOOKUP($D7,UKdata!$A$2:$E$402,4,FALSE)-30</f>
        <v>0</v>
      </c>
      <c r="J7" s="27">
        <v>0</v>
      </c>
      <c r="M7">
        <f t="shared" si="1"/>
        <v>1</v>
      </c>
      <c r="N7">
        <f t="shared" si="2"/>
        <v>0</v>
      </c>
      <c r="O7">
        <f t="shared" si="3"/>
        <v>0</v>
      </c>
      <c r="P7">
        <f>IF($M7&lt;&gt;0,SUM($M$5:$M7),0)</f>
        <v>3</v>
      </c>
      <c r="Q7">
        <f>IF($N7&lt;&gt;0,SUM($N$5:$N7)+15,0)</f>
        <v>0</v>
      </c>
      <c r="R7">
        <f>IF($O7&lt;&gt;0,SUM($O$6:$O7)+30,0)</f>
        <v>0</v>
      </c>
      <c r="S7">
        <f t="shared" si="4"/>
        <v>0</v>
      </c>
      <c r="T7">
        <f t="shared" si="5"/>
        <v>0</v>
      </c>
      <c r="U7">
        <f t="shared" si="6"/>
        <v>0</v>
      </c>
      <c r="V7" s="17">
        <v>1</v>
      </c>
    </row>
    <row r="8" spans="1:22" ht="12.75">
      <c r="A8" s="8" t="str">
        <f t="shared" si="0"/>
        <v>Ord4</v>
      </c>
      <c r="C8" s="27" t="str">
        <f>$E$5</f>
        <v>Reg-8</v>
      </c>
      <c r="D8" s="19" t="s">
        <v>284</v>
      </c>
      <c r="E8" t="str">
        <f>VLOOKUP($D8,UKdata!$A$2:$E$402,2,FALSE)</f>
        <v>1 Cmd/inf/Boys std, 1 inf std, 2 light trucks</v>
      </c>
      <c r="F8">
        <f>IF($E$5="Reg-8",VLOOKUP($D8,UKdata!$A$2:$E$402,3,FALSE)-50,0)</f>
        <v>0</v>
      </c>
      <c r="G8">
        <f>IF($E$5="Exp-8",VLOOKUP($D8,UKdata!$A$2:$E$402,4,FALSE)-60,0)</f>
        <v>0</v>
      </c>
      <c r="H8">
        <f>IF($E$5="Vet-9",VLOOKUP($D8,UKdata!$A$2:$E$402,5,FALSE)-75,0)</f>
        <v>0</v>
      </c>
      <c r="I8">
        <f>SUM(F8:H8)</f>
        <v>0</v>
      </c>
      <c r="J8" s="27">
        <v>0</v>
      </c>
      <c r="M8">
        <f t="shared" si="1"/>
        <v>1</v>
      </c>
      <c r="N8">
        <f t="shared" si="2"/>
        <v>0</v>
      </c>
      <c r="O8">
        <f t="shared" si="3"/>
        <v>0</v>
      </c>
      <c r="P8">
        <f>IF($M8&lt;&gt;0,SUM($M$5:$M8),0)</f>
        <v>4</v>
      </c>
      <c r="Q8">
        <f>IF($N8&lt;&gt;0,SUM($N$5:$N8)+15,0)</f>
        <v>0</v>
      </c>
      <c r="R8">
        <f>IF($O8&lt;&gt;0,SUM($O$6:$O8)+30,0)</f>
        <v>0</v>
      </c>
      <c r="S8">
        <f t="shared" si="4"/>
        <v>0</v>
      </c>
      <c r="T8">
        <f t="shared" si="5"/>
        <v>0</v>
      </c>
      <c r="U8">
        <f t="shared" si="6"/>
        <v>0</v>
      </c>
      <c r="V8" s="17"/>
    </row>
    <row r="9" spans="1:22" ht="12.75">
      <c r="A9" s="8" t="str">
        <f t="shared" si="0"/>
        <v>Ord5</v>
      </c>
      <c r="C9" s="27" t="str">
        <f>$E$5</f>
        <v>Reg-8</v>
      </c>
      <c r="D9" s="19" t="s">
        <v>284</v>
      </c>
      <c r="E9" t="str">
        <f>VLOOKUP($D9,UKdata!$A$2:$E$402,2,FALSE)</f>
        <v>1 Cmd/inf/Boys std, 1 inf std, 2 light trucks</v>
      </c>
      <c r="F9">
        <f>IF($E$5="Reg-8",VLOOKUP($D9,UKdata!$A$2:$E$402,3,FALSE)-50,0)</f>
        <v>0</v>
      </c>
      <c r="G9">
        <f>IF($E$5="Exp-8",VLOOKUP($D9,UKdata!$A$2:$E$402,4,FALSE)-60,0)</f>
        <v>0</v>
      </c>
      <c r="H9">
        <f>IF($E$5="Vet-9",VLOOKUP($D9,UKdata!$A$2:$E$402,5,FALSE)-75,0)</f>
        <v>0</v>
      </c>
      <c r="I9">
        <f>SUM(F9:H9)</f>
        <v>0</v>
      </c>
      <c r="J9" s="27">
        <v>0</v>
      </c>
      <c r="M9">
        <f t="shared" si="1"/>
        <v>1</v>
      </c>
      <c r="N9">
        <f t="shared" si="2"/>
        <v>0</v>
      </c>
      <c r="O9">
        <f t="shared" si="3"/>
        <v>0</v>
      </c>
      <c r="P9">
        <f>IF($M9&lt;&gt;0,SUM($M$5:$M9),0)</f>
        <v>5</v>
      </c>
      <c r="Q9">
        <f>IF($N9&lt;&gt;0,SUM($N$5:$N9)+15,0)</f>
        <v>0</v>
      </c>
      <c r="R9">
        <f>IF($O9&lt;&gt;0,SUM($O$6:$O9)+30,0)</f>
        <v>0</v>
      </c>
      <c r="S9">
        <f t="shared" si="4"/>
        <v>0</v>
      </c>
      <c r="T9">
        <f t="shared" si="5"/>
        <v>0</v>
      </c>
      <c r="U9">
        <f t="shared" si="6"/>
        <v>0</v>
      </c>
      <c r="V9" s="17"/>
    </row>
    <row r="10" spans="1:22" ht="12.75">
      <c r="A10" s="8" t="str">
        <f t="shared" si="0"/>
        <v>Ord6</v>
      </c>
      <c r="C10" s="27" t="str">
        <f>$E$5</f>
        <v>Reg-8</v>
      </c>
      <c r="D10" s="19" t="s">
        <v>284</v>
      </c>
      <c r="E10" t="str">
        <f>VLOOKUP($D10,UKdata!$A$2:$E$402,2,FALSE)</f>
        <v>1 Cmd/inf/Boys std, 1 inf std, 2 light trucks</v>
      </c>
      <c r="F10">
        <f>IF($E$5="Reg-8",VLOOKUP($D10,UKdata!$A$2:$E$402,3,FALSE)-50,0)</f>
        <v>0</v>
      </c>
      <c r="G10">
        <f>IF($E$5="Exp-8",VLOOKUP($D10,UKdata!$A$2:$E$402,4,FALSE)-60,0)</f>
        <v>0</v>
      </c>
      <c r="H10">
        <f>IF($E$5="Vet-9",VLOOKUP($D10,UKdata!$A$2:$E$402,5,FALSE)-75,0)</f>
        <v>0</v>
      </c>
      <c r="I10">
        <f>SUM(F10:H10)</f>
        <v>0</v>
      </c>
      <c r="J10" s="27">
        <v>0</v>
      </c>
      <c r="M10">
        <f t="shared" si="1"/>
        <v>1</v>
      </c>
      <c r="N10">
        <f t="shared" si="2"/>
        <v>0</v>
      </c>
      <c r="O10">
        <f t="shared" si="3"/>
        <v>0</v>
      </c>
      <c r="P10">
        <f>IF($M10&lt;&gt;0,SUM($M$5:$M10),0)</f>
        <v>6</v>
      </c>
      <c r="Q10">
        <f>IF($N10&lt;&gt;0,SUM($N$5:$N10)+15,0)</f>
        <v>0</v>
      </c>
      <c r="R10">
        <f>IF($O10&lt;&gt;0,SUM($O$6:$O10)+30,0)</f>
        <v>0</v>
      </c>
      <c r="S10">
        <f t="shared" si="4"/>
        <v>0</v>
      </c>
      <c r="T10">
        <f t="shared" si="5"/>
        <v>0</v>
      </c>
      <c r="U10">
        <f t="shared" si="6"/>
        <v>0</v>
      </c>
      <c r="V10" s="17"/>
    </row>
    <row r="11" spans="1:22" ht="12.75">
      <c r="A11" s="8" t="str">
        <f>IF(M11=1,"Ord"&amp;P11,IF(N11=1,"Ord"&amp;Q11,IF(O11=1,"Ord"&amp;R11,IF(I11&gt;0,"E",0))))</f>
        <v>Ord7</v>
      </c>
      <c r="C11" s="27" t="str">
        <f>$E$5</f>
        <v>Reg-8</v>
      </c>
      <c r="D11" s="19" t="s">
        <v>301</v>
      </c>
      <c r="E11" t="str">
        <f>VLOOKUP($D11,UKdata!$A$2:$E$402,2,FALSE)</f>
        <v>1 Cmd/Morris a/car, 1 Rolls Royce a/car, or 2 Marmon or Humber I-III a/car</v>
      </c>
      <c r="F11">
        <f>IF($E$5="Reg-8",VLOOKUP($D11,UKdata!$A$2:$E$402,3,FALSE)-55,0)</f>
        <v>0</v>
      </c>
      <c r="G11">
        <f>IF($E$5="Exp-8",VLOOKUP($D11,UKdata!$A$2:$E$402,4,FALSE)-70,0)</f>
        <v>0</v>
      </c>
      <c r="H11">
        <f>IF($E$5="Vet-9",VLOOKUP($D11,UKdata!$A$2:$E$402,5,FALSE)-90,0)</f>
        <v>0</v>
      </c>
      <c r="I11">
        <f>SUM(F11:H11)</f>
        <v>0</v>
      </c>
      <c r="J11" s="27">
        <v>0</v>
      </c>
      <c r="M11">
        <f t="shared" si="1"/>
        <v>1</v>
      </c>
      <c r="N11">
        <f t="shared" si="2"/>
        <v>0</v>
      </c>
      <c r="O11">
        <f t="shared" si="3"/>
        <v>0</v>
      </c>
      <c r="P11">
        <f>IF($M11&lt;&gt;0,SUM($M$5:$M11),0)</f>
        <v>7</v>
      </c>
      <c r="Q11">
        <f>IF($N11&lt;&gt;0,SUM($N$5:$N11)+15,0)</f>
        <v>0</v>
      </c>
      <c r="R11">
        <f>IF($O11&lt;&gt;0,SUM($O$6:$O11)+30,0)</f>
        <v>0</v>
      </c>
      <c r="S11">
        <f t="shared" si="4"/>
        <v>0</v>
      </c>
      <c r="T11">
        <f t="shared" si="5"/>
        <v>0</v>
      </c>
      <c r="U11">
        <f>IF($U$5=0,IF(O11&gt;0,$I11,0),0)</f>
        <v>0</v>
      </c>
      <c r="V11" s="17"/>
    </row>
    <row r="12" spans="1:22" ht="12.75">
      <c r="A12" s="8" t="str">
        <f>IF(M12=1,"Ord"&amp;P12,IF(N12=1,"Ord"&amp;Q12,IF(O12=1,"Ord"&amp;R12,IF(I12&gt;0,"E",0))))</f>
        <v>Ord8</v>
      </c>
      <c r="C12" s="27" t="str">
        <f>$E$5</f>
        <v>Reg-8</v>
      </c>
      <c r="D12" s="19" t="s">
        <v>195</v>
      </c>
      <c r="E12" t="str">
        <f>VLOOKUP($D12,UKdata!$A$2:$E$402,2,FALSE)</f>
        <v>1 25pdr gun/crew, 1 Quad mover</v>
      </c>
      <c r="I12">
        <f>SUM(F12:H12)</f>
        <v>0</v>
      </c>
      <c r="J12" s="27">
        <v>0</v>
      </c>
      <c r="M12">
        <f t="shared" si="1"/>
        <v>1</v>
      </c>
      <c r="N12">
        <f t="shared" si="2"/>
        <v>0</v>
      </c>
      <c r="O12">
        <f t="shared" si="3"/>
        <v>0</v>
      </c>
      <c r="P12">
        <f>IF($M12&lt;&gt;0,SUM($M$5:$M12),0)</f>
        <v>8</v>
      </c>
      <c r="Q12">
        <f>IF($N12&lt;&gt;0,SUM($N$5:$N12)+15,0)</f>
        <v>0</v>
      </c>
      <c r="R12">
        <f>IF($O12&lt;&gt;0,SUM($O$6:$O12)+30,0)</f>
        <v>0</v>
      </c>
      <c r="S12">
        <f t="shared" si="4"/>
        <v>0</v>
      </c>
      <c r="T12">
        <f t="shared" si="5"/>
        <v>0</v>
      </c>
      <c r="U12">
        <f>IF($U$5=0,IF(O12&gt;0,$I12,0),0)</f>
        <v>0</v>
      </c>
      <c r="V12" s="17"/>
    </row>
    <row r="13" spans="10:22" ht="12.75">
      <c r="J13">
        <v>0</v>
      </c>
      <c r="P13">
        <f>IF($M13&lt;&gt;0,SUM($M$5:$M13),0)</f>
        <v>0</v>
      </c>
      <c r="Q13">
        <f>IF($N13&lt;&gt;0,SUM($N$5:$N13)+15,0)</f>
        <v>0</v>
      </c>
      <c r="R13">
        <f>IF($O13&lt;&gt;0,SUM($O$5:$O13)+30,0)</f>
        <v>0</v>
      </c>
      <c r="S13">
        <f aca="true" t="shared" si="7" ref="S13:T16">IF(M13&gt;0,$I13,0)</f>
        <v>0</v>
      </c>
      <c r="T13">
        <f t="shared" si="7"/>
        <v>0</v>
      </c>
      <c r="U13">
        <f t="shared" si="6"/>
        <v>0</v>
      </c>
      <c r="V13" s="17"/>
    </row>
    <row r="14" spans="4:22" ht="12.75">
      <c r="D14" s="20" t="s">
        <v>61</v>
      </c>
      <c r="J14">
        <v>0</v>
      </c>
      <c r="P14">
        <f>IF($M14&lt;&gt;0,SUM($M$5:$M14),0)</f>
        <v>0</v>
      </c>
      <c r="Q14">
        <f>IF($N14&lt;&gt;0,SUM($N$5:$N14)+15,0)</f>
        <v>0</v>
      </c>
      <c r="R14">
        <f>IF($O14&lt;&gt;0,SUM($O$5:$O14)+30,0)</f>
        <v>0</v>
      </c>
      <c r="S14">
        <f t="shared" si="7"/>
        <v>0</v>
      </c>
      <c r="T14">
        <f t="shared" si="7"/>
        <v>0</v>
      </c>
      <c r="U14">
        <f>IF(O14&gt;0,$I14,0)</f>
        <v>0</v>
      </c>
      <c r="V14" s="17"/>
    </row>
    <row r="15" spans="1:22" ht="12.75">
      <c r="A15" s="8">
        <f>IF(M15=1,"Ord"&amp;P15,IF(N15=1,"Ord"&amp;Q15,IF(O15=1,"Ord"&amp;R15,IF(I15&gt;0,"E",0))))</f>
        <v>0</v>
      </c>
      <c r="C15" s="22" t="s">
        <v>3</v>
      </c>
      <c r="D15" s="3" t="s">
        <v>319</v>
      </c>
      <c r="E15">
        <f>VLOOKUP($D15,UKdata!$A$2:$E$402,2,FALSE)</f>
        <v>0</v>
      </c>
      <c r="F15">
        <f>IF($C15="Reg-8",VLOOKUP($D15,UKdata!$A$2:$E$402,3,FALSE),0)</f>
        <v>0</v>
      </c>
      <c r="G15">
        <f>IF($C15="Exp-8",VLOOKUP($D15,UKdata!$A$2:$E$402,4,FALSE),0)</f>
        <v>0</v>
      </c>
      <c r="H15">
        <f>IF($C15="Vet-9",VLOOKUP($D15,UKdata!$A$2:$E$402,5,FALSE),0)</f>
        <v>0</v>
      </c>
      <c r="I15">
        <f>SUM(F15:H15)</f>
        <v>0</v>
      </c>
      <c r="J15" s="3">
        <v>0</v>
      </c>
      <c r="M15">
        <f>IF(J15="Holding",1,0)</f>
        <v>0</v>
      </c>
      <c r="N15">
        <f>IF(J15="Reserve",1,0)</f>
        <v>0</v>
      </c>
      <c r="O15">
        <f>IF(J15="Assault",1,0)</f>
        <v>0</v>
      </c>
      <c r="P15">
        <f>IF($M15&lt;&gt;0,SUM($M$5:$M15),0)</f>
        <v>0</v>
      </c>
      <c r="Q15">
        <f>IF($N15&lt;&gt;0,SUM($N$5:$N15)+15,0)</f>
        <v>0</v>
      </c>
      <c r="R15">
        <f>IF($O15&lt;&gt;0,SUM($O$6:$O15)+30,0)</f>
        <v>0</v>
      </c>
      <c r="S15">
        <f t="shared" si="7"/>
        <v>0</v>
      </c>
      <c r="T15">
        <f t="shared" si="7"/>
        <v>0</v>
      </c>
      <c r="U15">
        <f>IF(O15&gt;0,$I15,0)</f>
        <v>0</v>
      </c>
      <c r="V15" s="17" t="e">
        <f>VLOOKUP($D15,UKdata!$A$2:$F$49,6,FALSE)</f>
        <v>#N/A</v>
      </c>
    </row>
    <row r="16" spans="1:22" ht="12.75">
      <c r="A16" s="8">
        <f>IF(M16=1,"Ord"&amp;P16,IF(N16=1,"Ord"&amp;Q16,IF(O16=1,"Ord"&amp;R16,IF(I16&gt;0,"E",0))))</f>
        <v>0</v>
      </c>
      <c r="C16" s="22">
        <v>0</v>
      </c>
      <c r="D16" s="3" t="s">
        <v>323</v>
      </c>
      <c r="E16">
        <f>VLOOKUP($D16,UKdata!$A$2:$E$402,2,FALSE)</f>
        <v>0</v>
      </c>
      <c r="F16">
        <f>IF($C16="Reg-8",VLOOKUP($D16,UKdata!$A$2:$E$402,3,FALSE),0)</f>
        <v>0</v>
      </c>
      <c r="G16">
        <f>IF($C16="Exp-8",VLOOKUP($D16,UKdata!$A$2:$E$402,4,FALSE),0)</f>
        <v>0</v>
      </c>
      <c r="H16">
        <f>IF($C16="Vet-9",VLOOKUP($D16,UKdata!$A$2:$E$402,5,FALSE),0)</f>
        <v>0</v>
      </c>
      <c r="I16">
        <f>SUM(F16:H16)</f>
        <v>0</v>
      </c>
      <c r="J16" s="3">
        <v>0</v>
      </c>
      <c r="K16" s="17">
        <f>VLOOKUP($D16,UKdata!$A$2:$F$202,6,FALSE)</f>
        <v>0</v>
      </c>
      <c r="M16">
        <f>IF(J16="Holding",1,0)</f>
        <v>0</v>
      </c>
      <c r="N16">
        <f>IF(J16="Reserve",1,0)</f>
        <v>0</v>
      </c>
      <c r="O16">
        <f>IF(J16="Assault",1,0)</f>
        <v>0</v>
      </c>
      <c r="P16">
        <f>IF($M16&lt;&gt;0,SUM($M$5:$M16),0)</f>
        <v>0</v>
      </c>
      <c r="Q16">
        <f>IF($N16&lt;&gt;0,SUM($N$5:$N16)+15,0)</f>
        <v>0</v>
      </c>
      <c r="R16">
        <f>IF($O16&lt;&gt;0,SUM($O$6:$O16)+30,0)</f>
        <v>0</v>
      </c>
      <c r="S16">
        <f t="shared" si="7"/>
        <v>0</v>
      </c>
      <c r="T16">
        <f t="shared" si="7"/>
        <v>0</v>
      </c>
      <c r="U16">
        <f>IF(O16&gt;0,$I16,0)</f>
        <v>0</v>
      </c>
      <c r="V16" s="17" t="e">
        <f>VLOOKUP($D16,UKdata!$A$2:$F$49,6,FALSE)</f>
        <v>#N/A</v>
      </c>
    </row>
    <row r="17" spans="3:22" ht="12.75">
      <c r="C17" s="22">
        <v>0</v>
      </c>
      <c r="D17" s="3"/>
      <c r="J17">
        <v>0</v>
      </c>
      <c r="V17" s="17"/>
    </row>
    <row r="18" spans="1:22" ht="12.75">
      <c r="A18" s="8">
        <f aca="true" t="shared" si="8" ref="A18:A28">IF(M18=1,"Ord"&amp;P18,IF(N18=1,"Ord"&amp;Q18,IF(O18=1,"Ord"&amp;R18,IF(I18&gt;0,"E",0))))</f>
        <v>0</v>
      </c>
      <c r="C18">
        <v>0</v>
      </c>
      <c r="D18" s="20" t="s">
        <v>325</v>
      </c>
      <c r="J18">
        <v>0</v>
      </c>
      <c r="M18">
        <f aca="true" t="shared" si="9" ref="M18:M28">IF(J18="Holding",1,0)</f>
        <v>0</v>
      </c>
      <c r="N18">
        <f aca="true" t="shared" si="10" ref="N18:N28">IF(J18="Reserve",1,0)</f>
        <v>0</v>
      </c>
      <c r="O18">
        <f aca="true" t="shared" si="11" ref="O18:O28">IF(J18="Assault",1,0)</f>
        <v>0</v>
      </c>
      <c r="P18">
        <f>IF($M18&lt;&gt;0,SUM($M$5:$M18),0)</f>
        <v>0</v>
      </c>
      <c r="Q18">
        <f>IF($N18&lt;&gt;0,SUM($N$5:$N18)+15,0)</f>
        <v>0</v>
      </c>
      <c r="R18">
        <f>IF($O18&lt;&gt;0,SUM($O$6:$O18)+30,0)</f>
        <v>0</v>
      </c>
      <c r="S18">
        <f aca="true" t="shared" si="12" ref="S18:U21">IF(M18&gt;0,$I18,0)</f>
        <v>0</v>
      </c>
      <c r="T18">
        <f t="shared" si="12"/>
        <v>0</v>
      </c>
      <c r="U18">
        <f t="shared" si="12"/>
        <v>0</v>
      </c>
      <c r="V18" s="17"/>
    </row>
    <row r="19" spans="1:22" ht="12.75">
      <c r="A19" s="8">
        <f t="shared" si="8"/>
        <v>0</v>
      </c>
      <c r="C19" s="22">
        <v>0</v>
      </c>
      <c r="D19" s="3" t="s">
        <v>86</v>
      </c>
      <c r="E19">
        <f>VLOOKUP($D19,UKdata!$A$2:$E$202,2,FALSE)</f>
        <v>0</v>
      </c>
      <c r="F19">
        <f>IF($C19="Reg-8",VLOOKUP($D19,UKdata!$A$2:$E$202,3,FALSE),0)</f>
        <v>0</v>
      </c>
      <c r="G19">
        <f>IF($C19="Exp-8",VLOOKUP($D19,UKdata!$A$2:$E$202,4,FALSE),0)</f>
        <v>0</v>
      </c>
      <c r="H19">
        <f>IF($C19="Vet-9",VLOOKUP($D19,UKdata!$A$2:$E$202,5,FALSE),0)</f>
        <v>0</v>
      </c>
      <c r="I19">
        <f aca="true" t="shared" si="13" ref="I19:I29">SUM(F19:H19)</f>
        <v>0</v>
      </c>
      <c r="J19" s="3">
        <v>0</v>
      </c>
      <c r="K19">
        <f>VLOOKUP($D19,UKdata!$A$2:$F$202,6,FALSE)</f>
        <v>0</v>
      </c>
      <c r="M19">
        <f t="shared" si="9"/>
        <v>0</v>
      </c>
      <c r="N19">
        <f t="shared" si="10"/>
        <v>0</v>
      </c>
      <c r="O19">
        <f t="shared" si="11"/>
        <v>0</v>
      </c>
      <c r="P19">
        <f>IF($M19&lt;&gt;0,SUM($M$5:$M19),0)</f>
        <v>0</v>
      </c>
      <c r="Q19">
        <f>IF($N19&lt;&gt;0,SUM($N$5:$N19)+15,0)</f>
        <v>0</v>
      </c>
      <c r="R19">
        <f>IF($O19&lt;&gt;0,SUM($O$6:$O19)+30,0)</f>
        <v>0</v>
      </c>
      <c r="S19">
        <f t="shared" si="12"/>
        <v>0</v>
      </c>
      <c r="T19">
        <f t="shared" si="12"/>
        <v>0</v>
      </c>
      <c r="U19">
        <f t="shared" si="12"/>
        <v>0</v>
      </c>
      <c r="V19" s="17"/>
    </row>
    <row r="20" spans="1:22" ht="12.75">
      <c r="A20" s="8">
        <f t="shared" si="8"/>
        <v>0</v>
      </c>
      <c r="C20" s="22">
        <v>0</v>
      </c>
      <c r="D20" s="3" t="s">
        <v>86</v>
      </c>
      <c r="E20">
        <f>VLOOKUP($D20,UKdata!$A$2:$E$202,2,FALSE)</f>
        <v>0</v>
      </c>
      <c r="F20">
        <f>IF($C20="Reg-8",VLOOKUP($D20,UKdata!$A$2:$E$202,3,FALSE),0)</f>
        <v>0</v>
      </c>
      <c r="G20">
        <f>IF($C20="Exp-8",VLOOKUP($D20,UKdata!$A$2:$E$202,4,FALSE),0)</f>
        <v>0</v>
      </c>
      <c r="H20">
        <f>IF($C20="Vet-9",VLOOKUP($D20,UKdata!$A$2:$E$202,5,FALSE),0)</f>
        <v>0</v>
      </c>
      <c r="I20">
        <f t="shared" si="13"/>
        <v>0</v>
      </c>
      <c r="J20" s="3">
        <v>0</v>
      </c>
      <c r="K20" s="4"/>
      <c r="M20">
        <f t="shared" si="9"/>
        <v>0</v>
      </c>
      <c r="N20">
        <f t="shared" si="10"/>
        <v>0</v>
      </c>
      <c r="O20">
        <f t="shared" si="11"/>
        <v>0</v>
      </c>
      <c r="P20">
        <f>IF($M20&lt;&gt;0,SUM($M$5:$M20),0)</f>
        <v>0</v>
      </c>
      <c r="Q20">
        <f>IF($N20&lt;&gt;0,SUM($N$5:$N20)+15,0)</f>
        <v>0</v>
      </c>
      <c r="R20">
        <f>IF($O20&lt;&gt;0,SUM($O$6:$O20)+30,0)</f>
        <v>0</v>
      </c>
      <c r="S20">
        <f t="shared" si="12"/>
        <v>0</v>
      </c>
      <c r="T20">
        <f t="shared" si="12"/>
        <v>0</v>
      </c>
      <c r="U20">
        <f t="shared" si="12"/>
        <v>0</v>
      </c>
      <c r="V20" s="17"/>
    </row>
    <row r="21" spans="1:22" ht="12.75">
      <c r="A21" s="8">
        <f t="shared" si="8"/>
        <v>0</v>
      </c>
      <c r="C21" s="22">
        <v>0</v>
      </c>
      <c r="D21" s="3" t="s">
        <v>86</v>
      </c>
      <c r="E21">
        <f>VLOOKUP($D21,UKdata!$A$2:$E$202,2,FALSE)</f>
        <v>0</v>
      </c>
      <c r="F21">
        <f>IF($C21="Reg-8",VLOOKUP($D21,UKdata!$A$2:$E$202,3,FALSE),0)</f>
        <v>0</v>
      </c>
      <c r="G21">
        <f>IF($C21="Exp-8",VLOOKUP($D21,UKdata!$A$2:$E$202,4,FALSE),0)</f>
        <v>0</v>
      </c>
      <c r="H21">
        <f>IF($C21="Vet-9",VLOOKUP($D21,UKdata!$A$2:$E$202,5,FALSE),0)</f>
        <v>0</v>
      </c>
      <c r="I21">
        <f t="shared" si="13"/>
        <v>0</v>
      </c>
      <c r="J21" s="3">
        <v>0</v>
      </c>
      <c r="K21" s="4"/>
      <c r="M21">
        <f t="shared" si="9"/>
        <v>0</v>
      </c>
      <c r="N21">
        <f t="shared" si="10"/>
        <v>0</v>
      </c>
      <c r="O21">
        <f t="shared" si="11"/>
        <v>0</v>
      </c>
      <c r="P21">
        <f>IF($M21&lt;&gt;0,SUM($M$5:$M21),0)</f>
        <v>0</v>
      </c>
      <c r="Q21">
        <f>IF($N21&lt;&gt;0,SUM($N$5:$N21)+15,0)</f>
        <v>0</v>
      </c>
      <c r="R21">
        <f>IF($O21&lt;&gt;0,SUM($O$6:$O21)+30,0)</f>
        <v>0</v>
      </c>
      <c r="S21">
        <f t="shared" si="12"/>
        <v>0</v>
      </c>
      <c r="T21">
        <f t="shared" si="12"/>
        <v>0</v>
      </c>
      <c r="U21">
        <f t="shared" si="12"/>
        <v>0</v>
      </c>
      <c r="V21" s="17"/>
    </row>
    <row r="22" spans="1:22" ht="12.75">
      <c r="A22" s="8" t="str">
        <f t="shared" si="8"/>
        <v>Ord9</v>
      </c>
      <c r="C22" s="22" t="s">
        <v>3</v>
      </c>
      <c r="D22" s="3" t="s">
        <v>142</v>
      </c>
      <c r="E22" t="str">
        <f>VLOOKUP($D22,UKdata!$A$2:$E$202,2,FALSE)</f>
        <v>1 Cmd/inf std, 1 light truck, 2 2pdr Bofors AT guns portee</v>
      </c>
      <c r="F22">
        <f>IF($C22="Reg-8",VLOOKUP($D22,UKdata!$A$2:$E$202,3,FALSE),0)</f>
        <v>0</v>
      </c>
      <c r="G22">
        <f>IF($C22="Exp-8",VLOOKUP($D22,UKdata!$A$2:$E$202,4,FALSE),0)</f>
        <v>0</v>
      </c>
      <c r="H22">
        <f>IF($C22="Vet-9",VLOOKUP($D22,UKdata!$A$2:$E$202,5,FALSE),0)</f>
        <v>130</v>
      </c>
      <c r="I22">
        <f t="shared" si="13"/>
        <v>130</v>
      </c>
      <c r="J22" s="3" t="s">
        <v>40</v>
      </c>
      <c r="K22" s="4"/>
      <c r="M22">
        <f t="shared" si="9"/>
        <v>1</v>
      </c>
      <c r="N22">
        <f t="shared" si="10"/>
        <v>0</v>
      </c>
      <c r="O22">
        <f t="shared" si="11"/>
        <v>0</v>
      </c>
      <c r="P22">
        <f>IF($M22&lt;&gt;0,SUM($M$5:$M22),0)</f>
        <v>9</v>
      </c>
      <c r="Q22">
        <f>IF($N22&lt;&gt;0,SUM($N$5:$N22)+15,0)</f>
        <v>0</v>
      </c>
      <c r="R22">
        <f>IF($O22&lt;&gt;0,SUM($O$6:$O22)+30,0)</f>
        <v>0</v>
      </c>
      <c r="S22">
        <f aca="true" t="shared" si="14" ref="S22:U28">IF(M22&gt;0,$I22,0)</f>
        <v>130</v>
      </c>
      <c r="T22">
        <f t="shared" si="14"/>
        <v>0</v>
      </c>
      <c r="U22">
        <f t="shared" si="14"/>
        <v>0</v>
      </c>
      <c r="V22" s="17"/>
    </row>
    <row r="23" spans="1:22" ht="12.75">
      <c r="A23" s="8" t="str">
        <f t="shared" si="8"/>
        <v>Ord16</v>
      </c>
      <c r="C23" s="22" t="s">
        <v>3</v>
      </c>
      <c r="D23" s="3" t="s">
        <v>142</v>
      </c>
      <c r="E23" t="str">
        <f>VLOOKUP($D23,UKdata!$A$2:$E$202,2,FALSE)</f>
        <v>1 Cmd/inf std, 1 light truck, 2 2pdr Bofors AT guns portee</v>
      </c>
      <c r="F23">
        <f>IF($C23="Reg-8",VLOOKUP($D23,UKdata!$A$2:$E$202,3,FALSE),0)</f>
        <v>0</v>
      </c>
      <c r="G23">
        <f>IF($C23="Exp-8",VLOOKUP($D23,UKdata!$A$2:$E$202,4,FALSE),0)</f>
        <v>0</v>
      </c>
      <c r="H23">
        <f>IF($C23="Vet-9",VLOOKUP($D23,UKdata!$A$2:$E$202,5,FALSE),0)</f>
        <v>130</v>
      </c>
      <c r="I23">
        <f t="shared" si="13"/>
        <v>130</v>
      </c>
      <c r="J23" s="3" t="s">
        <v>41</v>
      </c>
      <c r="K23" s="4"/>
      <c r="M23">
        <f t="shared" si="9"/>
        <v>0</v>
      </c>
      <c r="N23">
        <f t="shared" si="10"/>
        <v>1</v>
      </c>
      <c r="O23">
        <f t="shared" si="11"/>
        <v>0</v>
      </c>
      <c r="P23">
        <f>IF($M23&lt;&gt;0,SUM($M$5:$M23),0)</f>
        <v>0</v>
      </c>
      <c r="Q23">
        <f>IF($N23&lt;&gt;0,SUM($N$5:$N23)+15,0)</f>
        <v>16</v>
      </c>
      <c r="R23">
        <f>IF($O23&lt;&gt;0,SUM($O$6:$O23)+30,0)</f>
        <v>0</v>
      </c>
      <c r="S23">
        <f t="shared" si="14"/>
        <v>0</v>
      </c>
      <c r="T23">
        <f t="shared" si="14"/>
        <v>130</v>
      </c>
      <c r="U23">
        <f t="shared" si="14"/>
        <v>0</v>
      </c>
      <c r="V23" s="17"/>
    </row>
    <row r="24" spans="1:22" ht="12.75">
      <c r="A24" s="8">
        <f t="shared" si="8"/>
        <v>0</v>
      </c>
      <c r="C24" s="22">
        <v>0</v>
      </c>
      <c r="D24" s="3" t="s">
        <v>136</v>
      </c>
      <c r="E24">
        <f>VLOOKUP($D24,UKdata!$A$2:$E$202,2,FALSE)</f>
        <v>0</v>
      </c>
      <c r="F24">
        <f>IF($C24="Reg-8",VLOOKUP($D24,UKdata!$A$2:$E$202,3,FALSE),0)</f>
        <v>0</v>
      </c>
      <c r="G24">
        <f>IF($C24="Exp-8",VLOOKUP($D24,UKdata!$A$2:$E$202,4,FALSE),0)</f>
        <v>0</v>
      </c>
      <c r="H24">
        <f>IF($C24="Vet-9",VLOOKUP($D24,UKdata!$A$2:$E$202,5,FALSE),0)</f>
        <v>0</v>
      </c>
      <c r="I24">
        <f t="shared" si="13"/>
        <v>0</v>
      </c>
      <c r="J24" s="3">
        <v>0</v>
      </c>
      <c r="K24" s="4"/>
      <c r="M24">
        <f t="shared" si="9"/>
        <v>0</v>
      </c>
      <c r="N24">
        <f t="shared" si="10"/>
        <v>0</v>
      </c>
      <c r="O24">
        <f t="shared" si="11"/>
        <v>0</v>
      </c>
      <c r="P24">
        <f>IF($M24&lt;&gt;0,SUM($M$5:$M24),0)</f>
        <v>0</v>
      </c>
      <c r="Q24">
        <f>IF($N24&lt;&gt;0,SUM($N$5:$N24)+15,0)</f>
        <v>0</v>
      </c>
      <c r="R24">
        <f>IF($O24&lt;&gt;0,SUM($O$6:$O24)+30,0)</f>
        <v>0</v>
      </c>
      <c r="S24">
        <f t="shared" si="14"/>
        <v>0</v>
      </c>
      <c r="T24">
        <f t="shared" si="14"/>
        <v>0</v>
      </c>
      <c r="U24">
        <f t="shared" si="14"/>
        <v>0</v>
      </c>
      <c r="V24" s="17"/>
    </row>
    <row r="25" spans="1:22" ht="12.75">
      <c r="A25" s="8">
        <f t="shared" si="8"/>
        <v>0</v>
      </c>
      <c r="C25" s="22">
        <v>0</v>
      </c>
      <c r="D25" s="3" t="s">
        <v>136</v>
      </c>
      <c r="E25">
        <f>VLOOKUP($D25,UKdata!$A$2:$E$202,2,FALSE)</f>
        <v>0</v>
      </c>
      <c r="F25">
        <f>IF($C25="Reg-8",VLOOKUP($D25,UKdata!$A$2:$E$202,3,FALSE),0)</f>
        <v>0</v>
      </c>
      <c r="G25">
        <f>IF($C25="Exp-8",VLOOKUP($D25,UKdata!$A$2:$E$202,4,FALSE),0)</f>
        <v>0</v>
      </c>
      <c r="H25">
        <f>IF($C25="Vet-9",VLOOKUP($D25,UKdata!$A$2:$E$202,5,FALSE),0)</f>
        <v>0</v>
      </c>
      <c r="I25">
        <f t="shared" si="13"/>
        <v>0</v>
      </c>
      <c r="J25" s="3">
        <v>0</v>
      </c>
      <c r="M25">
        <f t="shared" si="9"/>
        <v>0</v>
      </c>
      <c r="N25">
        <f t="shared" si="10"/>
        <v>0</v>
      </c>
      <c r="O25">
        <f t="shared" si="11"/>
        <v>0</v>
      </c>
      <c r="P25">
        <f>IF($M25&lt;&gt;0,SUM($M$5:$M25),0)</f>
        <v>0</v>
      </c>
      <c r="Q25">
        <f>IF($N25&lt;&gt;0,SUM($N$5:$N25)+15,0)</f>
        <v>0</v>
      </c>
      <c r="R25">
        <f>IF($O25&lt;&gt;0,SUM($O$6:$O25)+30,0)</f>
        <v>0</v>
      </c>
      <c r="S25">
        <f t="shared" si="14"/>
        <v>0</v>
      </c>
      <c r="T25">
        <f t="shared" si="14"/>
        <v>0</v>
      </c>
      <c r="U25">
        <f t="shared" si="14"/>
        <v>0</v>
      </c>
      <c r="V25" s="17"/>
    </row>
    <row r="26" spans="1:22" ht="12.75">
      <c r="A26" s="8">
        <f t="shared" si="8"/>
        <v>0</v>
      </c>
      <c r="C26" s="22">
        <v>0</v>
      </c>
      <c r="D26" s="3" t="s">
        <v>145</v>
      </c>
      <c r="E26">
        <f>VLOOKUP($D26,UKdata!$A$2:$E$202,2,FALSE)</f>
        <v>0</v>
      </c>
      <c r="F26">
        <f>IF($C26="Reg-8",VLOOKUP($D26,UKdata!$A$2:$E$202,3,FALSE),0)</f>
        <v>0</v>
      </c>
      <c r="G26">
        <f>IF($C26="Exp-8",VLOOKUP($D26,UKdata!$A$2:$E$202,4,FALSE),0)</f>
        <v>0</v>
      </c>
      <c r="H26">
        <f>IF($C26="Vet-9",VLOOKUP($D26,UKdata!$A$2:$E$202,5,FALSE),0)</f>
        <v>0</v>
      </c>
      <c r="I26">
        <f t="shared" si="13"/>
        <v>0</v>
      </c>
      <c r="J26" s="3">
        <v>0</v>
      </c>
      <c r="K26" s="4"/>
      <c r="M26">
        <f t="shared" si="9"/>
        <v>0</v>
      </c>
      <c r="N26">
        <f t="shared" si="10"/>
        <v>0</v>
      </c>
      <c r="O26">
        <f t="shared" si="11"/>
        <v>0</v>
      </c>
      <c r="P26">
        <f>IF($M26&lt;&gt;0,SUM($M$5:$M26),0)</f>
        <v>0</v>
      </c>
      <c r="Q26">
        <f>IF($N26&lt;&gt;0,SUM($N$5:$N26)+15,0)</f>
        <v>0</v>
      </c>
      <c r="R26">
        <f>IF($O26&lt;&gt;0,SUM($O$6:$O26)+30,0)</f>
        <v>0</v>
      </c>
      <c r="S26">
        <f t="shared" si="14"/>
        <v>0</v>
      </c>
      <c r="T26">
        <f t="shared" si="14"/>
        <v>0</v>
      </c>
      <c r="U26">
        <f t="shared" si="14"/>
        <v>0</v>
      </c>
      <c r="V26" s="17"/>
    </row>
    <row r="27" spans="1:22" ht="12.75">
      <c r="A27" s="8">
        <f t="shared" si="8"/>
        <v>0</v>
      </c>
      <c r="C27" s="22">
        <v>0</v>
      </c>
      <c r="D27" s="3" t="s">
        <v>312</v>
      </c>
      <c r="E27">
        <f>VLOOKUP($D27,UKdata!$A$2:$E$202,2,FALSE)</f>
        <v>0</v>
      </c>
      <c r="F27">
        <f>IF($C27="Reg-8",VLOOKUP($D27,UKdata!$A$2:$E$202,3,FALSE),0)</f>
        <v>0</v>
      </c>
      <c r="G27">
        <f>IF($C27="Exp-8",VLOOKUP($D27,UKdata!$A$2:$E$202,4,FALSE),0)</f>
        <v>0</v>
      </c>
      <c r="H27">
        <f>IF($C27="Vet-9",VLOOKUP($D27,UKdata!$A$2:$E$202,5,FALSE),0)</f>
        <v>0</v>
      </c>
      <c r="I27">
        <f t="shared" si="13"/>
        <v>0</v>
      </c>
      <c r="J27" s="3">
        <v>0</v>
      </c>
      <c r="K27" s="4"/>
      <c r="M27">
        <f t="shared" si="9"/>
        <v>0</v>
      </c>
      <c r="N27">
        <f t="shared" si="10"/>
        <v>0</v>
      </c>
      <c r="O27">
        <f t="shared" si="11"/>
        <v>0</v>
      </c>
      <c r="P27">
        <f>IF($M27&lt;&gt;0,SUM($M$5:$M27),0)</f>
        <v>0</v>
      </c>
      <c r="Q27">
        <f>IF($N27&lt;&gt;0,SUM($N$5:$N27)+15,0)</f>
        <v>0</v>
      </c>
      <c r="R27">
        <f>IF($O27&lt;&gt;0,SUM($O$6:$O27)+30,0)</f>
        <v>0</v>
      </c>
      <c r="S27">
        <f t="shared" si="14"/>
        <v>0</v>
      </c>
      <c r="T27">
        <f t="shared" si="14"/>
        <v>0</v>
      </c>
      <c r="U27">
        <f t="shared" si="14"/>
        <v>0</v>
      </c>
      <c r="V27" s="17"/>
    </row>
    <row r="28" spans="1:22" ht="12.75">
      <c r="A28" s="8">
        <f t="shared" si="8"/>
        <v>0</v>
      </c>
      <c r="C28" s="22">
        <v>0</v>
      </c>
      <c r="D28" s="3" t="s">
        <v>181</v>
      </c>
      <c r="E28">
        <f>VLOOKUP($D28,UKdata!$A$2:$E$202,2,FALSE)</f>
        <v>0</v>
      </c>
      <c r="F28">
        <f>IF($C28="Reg-8",VLOOKUP($D28,UKdata!$A$2:$E$202,3,FALSE),0)</f>
        <v>0</v>
      </c>
      <c r="G28">
        <f>IF($C28="Exp-8",VLOOKUP($D28,UKdata!$A$2:$E$202,4,FALSE),0)</f>
        <v>0</v>
      </c>
      <c r="H28">
        <f>IF($C28="Vet-9",VLOOKUP($D28,UKdata!$A$2:$E$202,5,FALSE),0)</f>
        <v>0</v>
      </c>
      <c r="I28">
        <f t="shared" si="13"/>
        <v>0</v>
      </c>
      <c r="J28" s="3">
        <v>0</v>
      </c>
      <c r="M28">
        <f t="shared" si="9"/>
        <v>0</v>
      </c>
      <c r="N28">
        <f t="shared" si="10"/>
        <v>0</v>
      </c>
      <c r="O28">
        <f t="shared" si="11"/>
        <v>0</v>
      </c>
      <c r="P28">
        <f>IF($M28&lt;&gt;0,SUM($M$5:$M28),0)</f>
        <v>0</v>
      </c>
      <c r="Q28">
        <f>IF($N28&lt;&gt;0,SUM($N$5:$N28)+15,0)</f>
        <v>0</v>
      </c>
      <c r="R28">
        <f>IF($O28&lt;&gt;0,SUM($O$6:$O28)+30,0)</f>
        <v>0</v>
      </c>
      <c r="S28">
        <f t="shared" si="14"/>
        <v>0</v>
      </c>
      <c r="T28">
        <f t="shared" si="14"/>
        <v>0</v>
      </c>
      <c r="U28">
        <f t="shared" si="14"/>
        <v>0</v>
      </c>
      <c r="V28" s="17"/>
    </row>
    <row r="29" spans="3:22" ht="12.75">
      <c r="C29" s="24">
        <v>0</v>
      </c>
      <c r="D29" s="27"/>
      <c r="F29">
        <f>IF($C29="Reg-8",VLOOKUP($D29,UKdata!$A$2:$E$202,3,FALSE),0)</f>
        <v>0</v>
      </c>
      <c r="G29">
        <f>IF($C29="Exp-8",VLOOKUP($D29,UKdata!$A$2:$E$202,4,FALSE),0)</f>
        <v>0</v>
      </c>
      <c r="H29">
        <f>IF($C29="Vet-9",VLOOKUP($D29,UKdata!$A$2:$E$202,5,FALSE),0)</f>
        <v>0</v>
      </c>
      <c r="I29">
        <f t="shared" si="13"/>
        <v>0</v>
      </c>
      <c r="J29" s="27">
        <v>0</v>
      </c>
      <c r="K29" s="4"/>
      <c r="P29">
        <f>IF($M29&lt;&gt;0,SUM($M$5:$M29),0)</f>
        <v>0</v>
      </c>
      <c r="Q29">
        <f>IF($N29&lt;&gt;0,SUM($N$5:$N29)+15,0)</f>
        <v>0</v>
      </c>
      <c r="R29">
        <f>IF($O29&lt;&gt;0,SUM($O$6:$O29)+30,0)</f>
        <v>0</v>
      </c>
      <c r="V29" s="17"/>
    </row>
    <row r="30" spans="1:22" ht="12.75">
      <c r="A30" s="8">
        <f aca="true" t="shared" si="15" ref="A30:A55">IF(M30=1,"Ord"&amp;P30,IF(N30=1,"Ord"&amp;Q30,IF(O30=1,"Ord"&amp;R30,IF(I30&gt;0,"E",0))))</f>
        <v>0</v>
      </c>
      <c r="C30">
        <v>0</v>
      </c>
      <c r="D30" s="20" t="s">
        <v>209</v>
      </c>
      <c r="J30">
        <v>0</v>
      </c>
      <c r="M30">
        <f aca="true" t="shared" si="16" ref="M30:M59">IF(J30="Holding",1,0)</f>
        <v>0</v>
      </c>
      <c r="N30">
        <f aca="true" t="shared" si="17" ref="N30:N59">IF(J30="Reserve",1,0)</f>
        <v>0</v>
      </c>
      <c r="O30">
        <f aca="true" t="shared" si="18" ref="O30:O59">IF(J30="Assault",1,0)</f>
        <v>0</v>
      </c>
      <c r="P30">
        <f>IF($M30&lt;&gt;0,SUM($M$5:$M30),0)</f>
        <v>0</v>
      </c>
      <c r="Q30">
        <f>IF($N30&lt;&gt;0,SUM($N$5:$N30)+15,0)</f>
        <v>0</v>
      </c>
      <c r="R30">
        <f>IF($O30&lt;&gt;0,SUM($O$6:$O30)+30,0)</f>
        <v>0</v>
      </c>
      <c r="S30">
        <f aca="true" t="shared" si="19" ref="S30:S48">IF(M30&gt;0,$I30,0)</f>
        <v>0</v>
      </c>
      <c r="T30">
        <f aca="true" t="shared" si="20" ref="T30:T48">IF(N30&gt;0,$I30,0)</f>
        <v>0</v>
      </c>
      <c r="U30">
        <f aca="true" t="shared" si="21" ref="U30:U48">IF(O30&gt;0,$I30,0)</f>
        <v>0</v>
      </c>
      <c r="V30" s="17"/>
    </row>
    <row r="31" spans="1:22" ht="12.75">
      <c r="A31" s="8">
        <f t="shared" si="15"/>
        <v>0</v>
      </c>
      <c r="C31" s="22">
        <v>0</v>
      </c>
      <c r="D31" s="3" t="s">
        <v>214</v>
      </c>
      <c r="E31">
        <f>VLOOKUP($D31,UKdata!$A$2:$E$202,2,FALSE)</f>
        <v>0</v>
      </c>
      <c r="F31">
        <f>IF($C31="Reg-8",VLOOKUP($D31,UKdata!$A$2:$E$202,3,FALSE),0)</f>
        <v>0</v>
      </c>
      <c r="G31">
        <f>IF($C31="Exp-8",VLOOKUP($D31,UKdata!$A$2:$E$202,4,FALSE),0)</f>
        <v>0</v>
      </c>
      <c r="H31">
        <f>IF($C31="Vet-9",VLOOKUP($D31,UKdata!$A$2:$E$202,5,FALSE),0)</f>
        <v>0</v>
      </c>
      <c r="I31">
        <f aca="true" t="shared" si="22" ref="I31:I45">SUM(F31:H31)</f>
        <v>0</v>
      </c>
      <c r="J31" s="3">
        <v>0</v>
      </c>
      <c r="K31" s="4"/>
      <c r="M31">
        <f aca="true" t="shared" si="23" ref="M31:M40">IF(J31="Holding",1,0)</f>
        <v>0</v>
      </c>
      <c r="N31">
        <f aca="true" t="shared" si="24" ref="N31:N40">IF(J31="Reserve",1,0)</f>
        <v>0</v>
      </c>
      <c r="O31">
        <f aca="true" t="shared" si="25" ref="O31:O40">IF(J31="Assault",1,0)</f>
        <v>0</v>
      </c>
      <c r="P31">
        <f>IF($M31&lt;&gt;0,SUM($M$5:$M31),0)</f>
        <v>0</v>
      </c>
      <c r="Q31">
        <f>IF($N31&lt;&gt;0,SUM($N$5:$N31)+15,0)</f>
        <v>0</v>
      </c>
      <c r="R31">
        <f>IF($O31&lt;&gt;0,SUM($O$6:$O31)+30,0)</f>
        <v>0</v>
      </c>
      <c r="S31">
        <f t="shared" si="19"/>
        <v>0</v>
      </c>
      <c r="T31">
        <f t="shared" si="20"/>
        <v>0</v>
      </c>
      <c r="U31">
        <f t="shared" si="21"/>
        <v>0</v>
      </c>
      <c r="V31" s="17"/>
    </row>
    <row r="32" spans="1:22" ht="12.75">
      <c r="A32" s="8" t="str">
        <f t="shared" si="15"/>
        <v>Ord17</v>
      </c>
      <c r="C32" s="22" t="s">
        <v>1</v>
      </c>
      <c r="D32" s="3" t="s">
        <v>244</v>
      </c>
      <c r="E32" t="str">
        <f>VLOOKUP($D32,UKdata!$A$2:$E$202,2,FALSE)</f>
        <v>1 Cmd/A15 or Honey, 1 A15 or Honey</v>
      </c>
      <c r="F32">
        <f>IF($C32="Reg-8",VLOOKUP($D32,UKdata!$A$2:$E$202,3,FALSE),0)</f>
        <v>130</v>
      </c>
      <c r="G32">
        <f>IF($C32="Exp-8",VLOOKUP($D32,UKdata!$A$2:$E$202,4,FALSE),0)</f>
        <v>0</v>
      </c>
      <c r="H32">
        <f>IF($C32="Vet-9",VLOOKUP($D32,UKdata!$A$2:$E$202,5,FALSE),0)</f>
        <v>0</v>
      </c>
      <c r="I32">
        <f t="shared" si="22"/>
        <v>130</v>
      </c>
      <c r="J32" s="3" t="s">
        <v>41</v>
      </c>
      <c r="K32" s="4"/>
      <c r="M32">
        <f t="shared" si="23"/>
        <v>0</v>
      </c>
      <c r="N32">
        <f t="shared" si="24"/>
        <v>1</v>
      </c>
      <c r="O32">
        <f t="shared" si="25"/>
        <v>0</v>
      </c>
      <c r="P32">
        <f>IF($M32&lt;&gt;0,SUM($M$5:$M32),0)</f>
        <v>0</v>
      </c>
      <c r="Q32">
        <f>IF($N32&lt;&gt;0,SUM($N$5:$N32)+15,0)</f>
        <v>17</v>
      </c>
      <c r="R32">
        <f>IF($O32&lt;&gt;0,SUM($O$6:$O32)+30,0)</f>
        <v>0</v>
      </c>
      <c r="S32">
        <f t="shared" si="19"/>
        <v>0</v>
      </c>
      <c r="T32">
        <f t="shared" si="20"/>
        <v>130</v>
      </c>
      <c r="U32">
        <f t="shared" si="21"/>
        <v>0</v>
      </c>
      <c r="V32" s="17"/>
    </row>
    <row r="33" spans="1:22" ht="12.75">
      <c r="A33" s="8" t="str">
        <f t="shared" si="15"/>
        <v>Ord31</v>
      </c>
      <c r="C33" s="22" t="s">
        <v>1</v>
      </c>
      <c r="D33" s="3" t="s">
        <v>244</v>
      </c>
      <c r="E33" t="str">
        <f>VLOOKUP($D33,UKdata!$A$2:$E$202,2,FALSE)</f>
        <v>1 Cmd/A15 or Honey, 1 A15 or Honey</v>
      </c>
      <c r="F33">
        <f>IF($C33="Reg-8",VLOOKUP($D33,UKdata!$A$2:$E$202,3,FALSE),0)</f>
        <v>130</v>
      </c>
      <c r="G33">
        <f>IF($C33="Exp-8",VLOOKUP($D33,UKdata!$A$2:$E$202,4,FALSE),0)</f>
        <v>0</v>
      </c>
      <c r="H33">
        <f>IF($C33="Vet-9",VLOOKUP($D33,UKdata!$A$2:$E$202,5,FALSE),0)</f>
        <v>0</v>
      </c>
      <c r="I33">
        <f t="shared" si="22"/>
        <v>130</v>
      </c>
      <c r="J33" s="3" t="s">
        <v>42</v>
      </c>
      <c r="K33" s="4"/>
      <c r="M33">
        <f t="shared" si="23"/>
        <v>0</v>
      </c>
      <c r="N33">
        <f t="shared" si="24"/>
        <v>0</v>
      </c>
      <c r="O33">
        <f t="shared" si="25"/>
        <v>1</v>
      </c>
      <c r="P33">
        <f>IF($M33&lt;&gt;0,SUM($M$5:$M33),0)</f>
        <v>0</v>
      </c>
      <c r="Q33">
        <f>IF($N33&lt;&gt;0,SUM($N$5:$N33)+15,0)</f>
        <v>0</v>
      </c>
      <c r="R33">
        <f>IF($O33&lt;&gt;0,SUM($O$6:$O33)+30,0)</f>
        <v>31</v>
      </c>
      <c r="S33">
        <f t="shared" si="19"/>
        <v>0</v>
      </c>
      <c r="T33">
        <f t="shared" si="20"/>
        <v>0</v>
      </c>
      <c r="U33">
        <f t="shared" si="21"/>
        <v>130</v>
      </c>
      <c r="V33" s="17"/>
    </row>
    <row r="34" spans="1:22" ht="12.75">
      <c r="A34" s="8" t="str">
        <f t="shared" si="15"/>
        <v>Ord18</v>
      </c>
      <c r="C34" s="22" t="s">
        <v>1</v>
      </c>
      <c r="D34" s="3" t="s">
        <v>244</v>
      </c>
      <c r="E34" t="str">
        <f>VLOOKUP($D34,UKdata!$A$2:$E$202,2,FALSE)</f>
        <v>1 Cmd/A15 or Honey, 1 A15 or Honey</v>
      </c>
      <c r="F34">
        <f>IF($C34="Reg-8",VLOOKUP($D34,UKdata!$A$2:$E$202,3,FALSE),0)</f>
        <v>130</v>
      </c>
      <c r="G34">
        <f>IF($C34="Exp-8",VLOOKUP($D34,UKdata!$A$2:$E$202,4,FALSE),0)</f>
        <v>0</v>
      </c>
      <c r="H34">
        <f>IF($C34="Vet-9",VLOOKUP($D34,UKdata!$A$2:$E$202,5,FALSE),0)</f>
        <v>0</v>
      </c>
      <c r="I34">
        <f t="shared" si="22"/>
        <v>130</v>
      </c>
      <c r="J34" s="3" t="s">
        <v>41</v>
      </c>
      <c r="K34" s="4"/>
      <c r="M34">
        <f t="shared" si="23"/>
        <v>0</v>
      </c>
      <c r="N34">
        <f t="shared" si="24"/>
        <v>1</v>
      </c>
      <c r="O34">
        <f t="shared" si="25"/>
        <v>0</v>
      </c>
      <c r="P34">
        <f>IF($M34&lt;&gt;0,SUM($M$5:$M34),0)</f>
        <v>0</v>
      </c>
      <c r="Q34">
        <f>IF($N34&lt;&gt;0,SUM($N$5:$N34)+15,0)</f>
        <v>18</v>
      </c>
      <c r="R34">
        <f>IF($O34&lt;&gt;0,SUM($O$6:$O34)+30,0)</f>
        <v>0</v>
      </c>
      <c r="S34">
        <f t="shared" si="19"/>
        <v>0</v>
      </c>
      <c r="T34">
        <f t="shared" si="20"/>
        <v>130</v>
      </c>
      <c r="U34">
        <f t="shared" si="21"/>
        <v>0</v>
      </c>
      <c r="V34" s="17"/>
    </row>
    <row r="35" spans="1:22" ht="12.75">
      <c r="A35" s="8" t="str">
        <f t="shared" si="15"/>
        <v>Ord32</v>
      </c>
      <c r="C35" s="22" t="s">
        <v>1</v>
      </c>
      <c r="D35" s="3" t="s">
        <v>244</v>
      </c>
      <c r="E35" t="str">
        <f>VLOOKUP($D35,UKdata!$A$2:$E$202,2,FALSE)</f>
        <v>1 Cmd/A15 or Honey, 1 A15 or Honey</v>
      </c>
      <c r="F35">
        <f>IF($C35="Reg-8",VLOOKUP($D35,UKdata!$A$2:$E$202,3,FALSE),0)</f>
        <v>130</v>
      </c>
      <c r="G35">
        <f>IF($C35="Exp-8",VLOOKUP($D35,UKdata!$A$2:$E$202,4,FALSE),0)</f>
        <v>0</v>
      </c>
      <c r="H35">
        <f>IF($C35="Vet-9",VLOOKUP($D35,UKdata!$A$2:$E$202,5,FALSE),0)</f>
        <v>0</v>
      </c>
      <c r="I35">
        <f t="shared" si="22"/>
        <v>130</v>
      </c>
      <c r="J35" s="3" t="s">
        <v>42</v>
      </c>
      <c r="K35" s="4"/>
      <c r="M35">
        <f t="shared" si="23"/>
        <v>0</v>
      </c>
      <c r="N35">
        <f t="shared" si="24"/>
        <v>0</v>
      </c>
      <c r="O35">
        <f t="shared" si="25"/>
        <v>1</v>
      </c>
      <c r="P35">
        <f>IF($M35&lt;&gt;0,SUM($M$5:$M35),0)</f>
        <v>0</v>
      </c>
      <c r="Q35">
        <f>IF($N35&lt;&gt;0,SUM($N$5:$N35)+15,0)</f>
        <v>0</v>
      </c>
      <c r="R35">
        <f>IF($O35&lt;&gt;0,SUM($O$6:$O35)+30,0)</f>
        <v>32</v>
      </c>
      <c r="S35">
        <f t="shared" si="19"/>
        <v>0</v>
      </c>
      <c r="T35">
        <f t="shared" si="20"/>
        <v>0</v>
      </c>
      <c r="U35">
        <f t="shared" si="21"/>
        <v>130</v>
      </c>
      <c r="V35" s="17"/>
    </row>
    <row r="36" spans="1:22" ht="12.75">
      <c r="A36" s="8" t="str">
        <f t="shared" si="15"/>
        <v>Ord19</v>
      </c>
      <c r="C36" s="22" t="s">
        <v>1</v>
      </c>
      <c r="D36" s="3" t="s">
        <v>279</v>
      </c>
      <c r="E36" t="str">
        <f>VLOOKUP($D36,UKdata!$A$2:$E$202,2,FALSE)</f>
        <v>1 A15</v>
      </c>
      <c r="F36">
        <f>IF($C36="Reg-8",VLOOKUP($D36,UKdata!$A$2:$E$202,3,FALSE),0)</f>
        <v>60</v>
      </c>
      <c r="G36">
        <f>IF($C36="Exp-8",VLOOKUP($D36,UKdata!$A$2:$E$202,4,FALSE),0)</f>
        <v>0</v>
      </c>
      <c r="H36">
        <f>IF($C36="Vet-9",VLOOKUP($D36,UKdata!$A$2:$E$202,5,FALSE),0)</f>
        <v>0</v>
      </c>
      <c r="I36">
        <f t="shared" si="22"/>
        <v>60</v>
      </c>
      <c r="J36" s="3" t="s">
        <v>41</v>
      </c>
      <c r="K36" s="4"/>
      <c r="M36">
        <f t="shared" si="23"/>
        <v>0</v>
      </c>
      <c r="N36">
        <f t="shared" si="24"/>
        <v>1</v>
      </c>
      <c r="O36">
        <f t="shared" si="25"/>
        <v>0</v>
      </c>
      <c r="P36">
        <f>IF($M36&lt;&gt;0,SUM($M$5:$M36),0)</f>
        <v>0</v>
      </c>
      <c r="Q36">
        <f>IF($N36&lt;&gt;0,SUM($N$5:$N36)+15,0)</f>
        <v>19</v>
      </c>
      <c r="R36">
        <f>IF($O36&lt;&gt;0,SUM($O$6:$O36)+30,0)</f>
        <v>0</v>
      </c>
      <c r="S36">
        <f t="shared" si="19"/>
        <v>0</v>
      </c>
      <c r="T36">
        <f t="shared" si="20"/>
        <v>60</v>
      </c>
      <c r="U36">
        <f t="shared" si="21"/>
        <v>0</v>
      </c>
      <c r="V36" s="17"/>
    </row>
    <row r="37" spans="1:22" ht="12.75">
      <c r="A37" s="8" t="str">
        <f t="shared" si="15"/>
        <v>Ord10</v>
      </c>
      <c r="C37" s="22" t="s">
        <v>1</v>
      </c>
      <c r="D37" s="3" t="s">
        <v>279</v>
      </c>
      <c r="E37" t="str">
        <f>VLOOKUP($D37,UKdata!$A$2:$E$202,2,FALSE)</f>
        <v>1 A15</v>
      </c>
      <c r="F37">
        <f>IF($C37="Reg-8",VLOOKUP($D37,UKdata!$A$2:$E$202,3,FALSE),0)</f>
        <v>60</v>
      </c>
      <c r="G37">
        <f>IF($C37="Exp-8",VLOOKUP($D37,UKdata!$A$2:$E$202,4,FALSE),0)</f>
        <v>0</v>
      </c>
      <c r="H37">
        <f>IF($C37="Vet-9",VLOOKUP($D37,UKdata!$A$2:$E$202,5,FALSE),0)</f>
        <v>0</v>
      </c>
      <c r="I37">
        <f t="shared" si="22"/>
        <v>60</v>
      </c>
      <c r="J37" s="3" t="s">
        <v>40</v>
      </c>
      <c r="K37" s="4"/>
      <c r="M37">
        <f t="shared" si="23"/>
        <v>1</v>
      </c>
      <c r="N37">
        <f t="shared" si="24"/>
        <v>0</v>
      </c>
      <c r="O37">
        <f t="shared" si="25"/>
        <v>0</v>
      </c>
      <c r="P37">
        <f>IF($M37&lt;&gt;0,SUM($M$5:$M37),0)</f>
        <v>10</v>
      </c>
      <c r="Q37">
        <f>IF($N37&lt;&gt;0,SUM($N$5:$N37)+15,0)</f>
        <v>0</v>
      </c>
      <c r="R37">
        <f>IF($O37&lt;&gt;0,SUM($O$6:$O37)+30,0)</f>
        <v>0</v>
      </c>
      <c r="S37">
        <f t="shared" si="19"/>
        <v>60</v>
      </c>
      <c r="T37">
        <f t="shared" si="20"/>
        <v>0</v>
      </c>
      <c r="U37">
        <f t="shared" si="21"/>
        <v>0</v>
      </c>
      <c r="V37" s="17"/>
    </row>
    <row r="38" spans="1:22" ht="12.75">
      <c r="A38" s="8" t="str">
        <f t="shared" si="15"/>
        <v>Ord33</v>
      </c>
      <c r="C38" s="22" t="s">
        <v>1</v>
      </c>
      <c r="D38" s="3" t="s">
        <v>279</v>
      </c>
      <c r="E38" t="str">
        <f>VLOOKUP($D38,UKdata!$A$2:$E$202,2,FALSE)</f>
        <v>1 A15</v>
      </c>
      <c r="F38">
        <f>IF($C38="Reg-8",VLOOKUP($D38,UKdata!$A$2:$E$202,3,FALSE),0)</f>
        <v>60</v>
      </c>
      <c r="G38">
        <f>IF($C38="Exp-8",VLOOKUP($D38,UKdata!$A$2:$E$202,4,FALSE),0)</f>
        <v>0</v>
      </c>
      <c r="H38">
        <f>IF($C38="Vet-9",VLOOKUP($D38,UKdata!$A$2:$E$202,5,FALSE),0)</f>
        <v>0</v>
      </c>
      <c r="I38">
        <f t="shared" si="22"/>
        <v>60</v>
      </c>
      <c r="J38" s="3" t="s">
        <v>42</v>
      </c>
      <c r="K38" s="4"/>
      <c r="M38">
        <f t="shared" si="23"/>
        <v>0</v>
      </c>
      <c r="N38">
        <f t="shared" si="24"/>
        <v>0</v>
      </c>
      <c r="O38">
        <f t="shared" si="25"/>
        <v>1</v>
      </c>
      <c r="P38">
        <f>IF($M38&lt;&gt;0,SUM($M$5:$M38),0)</f>
        <v>0</v>
      </c>
      <c r="Q38">
        <f>IF($N38&lt;&gt;0,SUM($N$5:$N38)+15,0)</f>
        <v>0</v>
      </c>
      <c r="R38">
        <f>IF($O38&lt;&gt;0,SUM($O$6:$O38)+30,0)</f>
        <v>33</v>
      </c>
      <c r="S38">
        <f t="shared" si="19"/>
        <v>0</v>
      </c>
      <c r="T38">
        <f t="shared" si="20"/>
        <v>0</v>
      </c>
      <c r="U38">
        <f t="shared" si="21"/>
        <v>60</v>
      </c>
      <c r="V38" s="17"/>
    </row>
    <row r="39" spans="1:22" ht="12.75">
      <c r="A39" s="8" t="str">
        <f t="shared" si="15"/>
        <v>Ord34</v>
      </c>
      <c r="C39" s="22" t="s">
        <v>1</v>
      </c>
      <c r="D39" s="3" t="s">
        <v>279</v>
      </c>
      <c r="E39" t="str">
        <f>VLOOKUP($D39,UKdata!$A$2:$E$202,2,FALSE)</f>
        <v>1 A15</v>
      </c>
      <c r="F39">
        <f>IF($C39="Reg-8",VLOOKUP($D39,UKdata!$A$2:$E$202,3,FALSE),0)</f>
        <v>60</v>
      </c>
      <c r="G39">
        <f>IF($C39="Exp-8",VLOOKUP($D39,UKdata!$A$2:$E$202,4,FALSE),0)</f>
        <v>0</v>
      </c>
      <c r="H39">
        <f>IF($C39="Vet-9",VLOOKUP($D39,UKdata!$A$2:$E$202,5,FALSE),0)</f>
        <v>0</v>
      </c>
      <c r="I39">
        <f t="shared" si="22"/>
        <v>60</v>
      </c>
      <c r="J39" s="3" t="s">
        <v>42</v>
      </c>
      <c r="K39" s="4"/>
      <c r="M39">
        <f t="shared" si="23"/>
        <v>0</v>
      </c>
      <c r="N39">
        <f t="shared" si="24"/>
        <v>0</v>
      </c>
      <c r="O39">
        <f t="shared" si="25"/>
        <v>1</v>
      </c>
      <c r="P39">
        <f>IF($M39&lt;&gt;0,SUM($M$5:$M39),0)</f>
        <v>0</v>
      </c>
      <c r="Q39">
        <f>IF($N39&lt;&gt;0,SUM($N$5:$N39)+15,0)</f>
        <v>0</v>
      </c>
      <c r="R39">
        <f>IF($O39&lt;&gt;0,SUM($O$6:$O39)+30,0)</f>
        <v>34</v>
      </c>
      <c r="S39">
        <f t="shared" si="19"/>
        <v>0</v>
      </c>
      <c r="T39">
        <f t="shared" si="20"/>
        <v>0</v>
      </c>
      <c r="U39">
        <f t="shared" si="21"/>
        <v>60</v>
      </c>
      <c r="V39" s="17"/>
    </row>
    <row r="40" spans="1:22" ht="12.75">
      <c r="A40" s="8">
        <f t="shared" si="15"/>
        <v>0</v>
      </c>
      <c r="C40" s="22">
        <v>0</v>
      </c>
      <c r="D40" s="3" t="s">
        <v>326</v>
      </c>
      <c r="E40">
        <f>VLOOKUP($D40,UKdata!$A$2:$E$202,2,FALSE)</f>
        <v>0</v>
      </c>
      <c r="F40">
        <f>IF($C40="Reg-8",VLOOKUP($D40,UKdata!$A$2:$E$202,3,FALSE),0)</f>
        <v>0</v>
      </c>
      <c r="G40">
        <f>IF($C40="Exp-8",VLOOKUP($D40,UKdata!$A$2:$E$202,4,FALSE),0)</f>
        <v>0</v>
      </c>
      <c r="H40">
        <f>IF($C40="Vet-9",VLOOKUP($D40,UKdata!$A$2:$E$202,5,FALSE),0)</f>
        <v>0</v>
      </c>
      <c r="I40">
        <f t="shared" si="22"/>
        <v>0</v>
      </c>
      <c r="J40" s="3">
        <v>0</v>
      </c>
      <c r="K40" s="4"/>
      <c r="M40">
        <f t="shared" si="23"/>
        <v>0</v>
      </c>
      <c r="N40">
        <f t="shared" si="24"/>
        <v>0</v>
      </c>
      <c r="O40">
        <f t="shared" si="25"/>
        <v>0</v>
      </c>
      <c r="P40">
        <f>IF($M40&lt;&gt;0,SUM($M$5:$M40),0)</f>
        <v>0</v>
      </c>
      <c r="Q40">
        <f>IF($N40&lt;&gt;0,SUM($N$5:$N40)+15,0)</f>
        <v>0</v>
      </c>
      <c r="R40">
        <f>IF($O40&lt;&gt;0,SUM($O$6:$O40)+30,0)</f>
        <v>0</v>
      </c>
      <c r="S40">
        <f t="shared" si="19"/>
        <v>0</v>
      </c>
      <c r="T40">
        <f t="shared" si="20"/>
        <v>0</v>
      </c>
      <c r="U40">
        <f t="shared" si="21"/>
        <v>0</v>
      </c>
      <c r="V40" s="17"/>
    </row>
    <row r="41" spans="1:22" ht="12.75">
      <c r="A41" s="8" t="str">
        <f t="shared" si="15"/>
        <v>Ord35</v>
      </c>
      <c r="C41" s="22" t="s">
        <v>2</v>
      </c>
      <c r="D41" s="3" t="s">
        <v>302</v>
      </c>
      <c r="E41" t="str">
        <f>VLOOKUP($D41,UKdata!$A$2:$E$202,2,FALSE)</f>
        <v>2 Marmon-Herrington II/III, one upgunned to any listed</v>
      </c>
      <c r="F41">
        <f>IF($C41="Reg-8",VLOOKUP($D41,UKdata!$A$2:$E$202,3,FALSE),0)</f>
        <v>0</v>
      </c>
      <c r="G41">
        <f>IF($C41="Exp-8",VLOOKUP($D41,UKdata!$A$2:$E$202,4,FALSE),0)</f>
        <v>85</v>
      </c>
      <c r="H41">
        <f>IF($C41="Vet-9",VLOOKUP($D41,UKdata!$A$2:$E$202,5,FALSE),0)</f>
        <v>0</v>
      </c>
      <c r="I41">
        <f t="shared" si="22"/>
        <v>85</v>
      </c>
      <c r="J41" s="3" t="s">
        <v>42</v>
      </c>
      <c r="M41">
        <f t="shared" si="16"/>
        <v>0</v>
      </c>
      <c r="N41">
        <f t="shared" si="17"/>
        <v>0</v>
      </c>
      <c r="O41">
        <f t="shared" si="18"/>
        <v>1</v>
      </c>
      <c r="P41">
        <f>IF($M41&lt;&gt;0,SUM($M$5:$M41),0)</f>
        <v>0</v>
      </c>
      <c r="Q41">
        <f>IF($N41&lt;&gt;0,SUM($N$5:$N41)+15,0)</f>
        <v>0</v>
      </c>
      <c r="R41">
        <f>IF($O41&lt;&gt;0,SUM($O$6:$O41)+30,0)</f>
        <v>35</v>
      </c>
      <c r="S41">
        <f t="shared" si="19"/>
        <v>0</v>
      </c>
      <c r="T41">
        <f t="shared" si="20"/>
        <v>0</v>
      </c>
      <c r="U41">
        <f t="shared" si="21"/>
        <v>85</v>
      </c>
      <c r="V41" s="17"/>
    </row>
    <row r="42" spans="1:22" ht="12.75">
      <c r="A42" s="8">
        <f t="shared" si="15"/>
        <v>0</v>
      </c>
      <c r="C42" s="22">
        <v>0</v>
      </c>
      <c r="D42" s="3" t="s">
        <v>300</v>
      </c>
      <c r="E42">
        <f>VLOOKUP($D42,UKdata!$A$2:$E$202,2,FALSE)</f>
        <v>0</v>
      </c>
      <c r="F42">
        <f>IF($C42="Reg-8",VLOOKUP($D42,UKdata!$A$2:$E$202,3,FALSE),0)</f>
        <v>0</v>
      </c>
      <c r="G42">
        <f>IF($C42="Exp-8",VLOOKUP($D42,UKdata!$A$2:$E$202,4,FALSE),0)</f>
        <v>0</v>
      </c>
      <c r="H42">
        <f>IF($C42="Vet-9",VLOOKUP($D42,UKdata!$A$2:$E$202,5,FALSE),0)</f>
        <v>0</v>
      </c>
      <c r="I42">
        <f t="shared" si="22"/>
        <v>0</v>
      </c>
      <c r="J42" s="3">
        <v>0</v>
      </c>
      <c r="M42">
        <f>IF(J42="Holding",1,0)</f>
        <v>0</v>
      </c>
      <c r="N42">
        <f>IF(J42="Reserve",1,0)</f>
        <v>0</v>
      </c>
      <c r="O42">
        <f>IF(J42="Assault",1,0)</f>
        <v>0</v>
      </c>
      <c r="P42">
        <f>IF($M42&lt;&gt;0,SUM($M$5:$M42),0)</f>
        <v>0</v>
      </c>
      <c r="Q42">
        <f>IF($N42&lt;&gt;0,SUM($N$5:$N42)+15,0)</f>
        <v>0</v>
      </c>
      <c r="R42">
        <f>IF($O42&lt;&gt;0,SUM($O$6:$O42)+30,0)</f>
        <v>0</v>
      </c>
      <c r="S42">
        <f t="shared" si="19"/>
        <v>0</v>
      </c>
      <c r="T42">
        <f t="shared" si="20"/>
        <v>0</v>
      </c>
      <c r="U42">
        <f t="shared" si="21"/>
        <v>0</v>
      </c>
      <c r="V42" s="17"/>
    </row>
    <row r="43" spans="1:22" ht="12.75">
      <c r="A43" s="8">
        <f t="shared" si="15"/>
        <v>0</v>
      </c>
      <c r="C43" s="22">
        <v>0</v>
      </c>
      <c r="D43" s="3" t="s">
        <v>313</v>
      </c>
      <c r="E43">
        <f>VLOOKUP($D43,UKdata!$A$2:$E$202,2,FALSE)</f>
        <v>0</v>
      </c>
      <c r="F43">
        <f>IF($C43="Reg-8",VLOOKUP($D43,UKdata!$A$2:$E$202,3,FALSE),0)</f>
        <v>0</v>
      </c>
      <c r="G43">
        <f>IF($C43="Exp-8",VLOOKUP($D43,UKdata!$A$2:$E$202,4,FALSE),0)</f>
        <v>0</v>
      </c>
      <c r="H43">
        <f>IF($C43="Vet-9",VLOOKUP($D43,UKdata!$A$2:$E$202,5,FALSE),0)</f>
        <v>0</v>
      </c>
      <c r="I43">
        <f t="shared" si="22"/>
        <v>0</v>
      </c>
      <c r="J43" s="3">
        <v>0</v>
      </c>
      <c r="M43">
        <f>IF(J43="Holding",1,0)</f>
        <v>0</v>
      </c>
      <c r="N43">
        <f>IF(J43="Reserve",1,0)</f>
        <v>0</v>
      </c>
      <c r="O43">
        <f>IF(J43="Assault",1,0)</f>
        <v>0</v>
      </c>
      <c r="P43">
        <f>IF($M43&lt;&gt;0,SUM($M$5:$M43),0)</f>
        <v>0</v>
      </c>
      <c r="Q43">
        <f>IF($N43&lt;&gt;0,SUM($N$5:$N43)+15,0)</f>
        <v>0</v>
      </c>
      <c r="R43">
        <f>IF($O43&lt;&gt;0,SUM($O$6:$O43)+30,0)</f>
        <v>0</v>
      </c>
      <c r="S43">
        <f t="shared" si="19"/>
        <v>0</v>
      </c>
      <c r="T43">
        <f t="shared" si="20"/>
        <v>0</v>
      </c>
      <c r="U43">
        <f t="shared" si="21"/>
        <v>0</v>
      </c>
      <c r="V43" s="17"/>
    </row>
    <row r="44" spans="1:22" ht="12.75">
      <c r="A44" s="8">
        <f t="shared" si="15"/>
        <v>0</v>
      </c>
      <c r="C44" s="22">
        <v>0</v>
      </c>
      <c r="D44" s="3" t="s">
        <v>313</v>
      </c>
      <c r="E44">
        <f>VLOOKUP($D44,UKdata!$A$2:$E$202,2,FALSE)</f>
        <v>0</v>
      </c>
      <c r="F44">
        <f>IF($C44="Reg-8",VLOOKUP($D44,UKdata!$A$2:$E$202,3,FALSE),0)</f>
        <v>0</v>
      </c>
      <c r="G44">
        <f>IF($C44="Exp-8",VLOOKUP($D44,UKdata!$A$2:$E$202,4,FALSE),0)</f>
        <v>0</v>
      </c>
      <c r="H44">
        <f>IF($C44="Vet-9",VLOOKUP($D44,UKdata!$A$2:$E$202,5,FALSE),0)</f>
        <v>0</v>
      </c>
      <c r="I44">
        <f t="shared" si="22"/>
        <v>0</v>
      </c>
      <c r="J44" s="3">
        <v>0</v>
      </c>
      <c r="M44">
        <f>IF(J44="Holding",1,0)</f>
        <v>0</v>
      </c>
      <c r="N44">
        <f>IF(J44="Reserve",1,0)</f>
        <v>0</v>
      </c>
      <c r="O44">
        <f>IF(J44="Assault",1,0)</f>
        <v>0</v>
      </c>
      <c r="P44">
        <f>IF($M44&lt;&gt;0,SUM($M$5:$M44),0)</f>
        <v>0</v>
      </c>
      <c r="Q44">
        <f>IF($N44&lt;&gt;0,SUM($N$5:$N44)+15,0)</f>
        <v>0</v>
      </c>
      <c r="R44">
        <f>IF($O44&lt;&gt;0,SUM($O$6:$O44)+30,0)</f>
        <v>0</v>
      </c>
      <c r="S44">
        <f t="shared" si="19"/>
        <v>0</v>
      </c>
      <c r="T44">
        <f t="shared" si="20"/>
        <v>0</v>
      </c>
      <c r="U44">
        <f t="shared" si="21"/>
        <v>0</v>
      </c>
      <c r="V44" s="17"/>
    </row>
    <row r="45" spans="1:22" ht="12.75">
      <c r="A45" s="8">
        <f t="shared" si="15"/>
        <v>0</v>
      </c>
      <c r="C45" s="22">
        <v>0</v>
      </c>
      <c r="D45" s="3" t="s">
        <v>313</v>
      </c>
      <c r="E45">
        <f>VLOOKUP($D45,UKdata!$A$2:$E$202,2,FALSE)</f>
        <v>0</v>
      </c>
      <c r="F45">
        <f>IF($C45="Reg-8",VLOOKUP($D45,UKdata!$A$2:$E$202,3,FALSE),0)</f>
        <v>0</v>
      </c>
      <c r="G45">
        <f>IF($C45="Exp-8",VLOOKUP($D45,UKdata!$A$2:$E$202,4,FALSE),0)</f>
        <v>0</v>
      </c>
      <c r="H45">
        <f>IF($C45="Vet-9",VLOOKUP($D45,UKdata!$A$2:$E$202,5,FALSE),0)</f>
        <v>0</v>
      </c>
      <c r="I45">
        <f t="shared" si="22"/>
        <v>0</v>
      </c>
      <c r="J45" s="3">
        <v>0</v>
      </c>
      <c r="M45">
        <f>IF(J45="Holding",1,0)</f>
        <v>0</v>
      </c>
      <c r="N45">
        <f>IF(J45="Reserve",1,0)</f>
        <v>0</v>
      </c>
      <c r="O45">
        <f>IF(J45="Assault",1,0)</f>
        <v>0</v>
      </c>
      <c r="P45">
        <f>IF($M45&lt;&gt;0,SUM($M$5:$M45),0)</f>
        <v>0</v>
      </c>
      <c r="Q45">
        <f>IF($N45&lt;&gt;0,SUM($N$5:$N45)+15,0)</f>
        <v>0</v>
      </c>
      <c r="R45">
        <f>IF($O45&lt;&gt;0,SUM($O$6:$O45)+30,0)</f>
        <v>0</v>
      </c>
      <c r="S45">
        <f t="shared" si="19"/>
        <v>0</v>
      </c>
      <c r="T45">
        <f t="shared" si="20"/>
        <v>0</v>
      </c>
      <c r="U45">
        <f t="shared" si="21"/>
        <v>0</v>
      </c>
      <c r="V45" s="17"/>
    </row>
    <row r="46" spans="1:22" ht="12.75">
      <c r="A46" s="8">
        <f t="shared" si="15"/>
        <v>0</v>
      </c>
      <c r="C46">
        <v>0</v>
      </c>
      <c r="J46">
        <v>0</v>
      </c>
      <c r="M46">
        <f t="shared" si="16"/>
        <v>0</v>
      </c>
      <c r="N46">
        <f t="shared" si="17"/>
        <v>0</v>
      </c>
      <c r="O46">
        <f t="shared" si="18"/>
        <v>0</v>
      </c>
      <c r="P46">
        <f>IF($M46&lt;&gt;0,SUM($M$5:$M46),0)</f>
        <v>0</v>
      </c>
      <c r="Q46">
        <f>IF($N46&lt;&gt;0,SUM($N$5:$N46)+15,0)</f>
        <v>0</v>
      </c>
      <c r="R46">
        <f>IF($O46&lt;&gt;0,SUM($O$6:$O46)+30,0)</f>
        <v>0</v>
      </c>
      <c r="S46">
        <f t="shared" si="19"/>
        <v>0</v>
      </c>
      <c r="T46">
        <f t="shared" si="20"/>
        <v>0</v>
      </c>
      <c r="U46">
        <f t="shared" si="21"/>
        <v>0</v>
      </c>
      <c r="V46" s="17"/>
    </row>
    <row r="47" spans="1:22" ht="12.75">
      <c r="A47" s="8">
        <f t="shared" si="15"/>
        <v>0</v>
      </c>
      <c r="C47">
        <v>0</v>
      </c>
      <c r="D47" s="20" t="s">
        <v>342</v>
      </c>
      <c r="J47">
        <v>0</v>
      </c>
      <c r="M47">
        <f t="shared" si="16"/>
        <v>0</v>
      </c>
      <c r="N47">
        <f t="shared" si="17"/>
        <v>0</v>
      </c>
      <c r="O47">
        <f t="shared" si="18"/>
        <v>0</v>
      </c>
      <c r="P47">
        <f>IF($M47&lt;&gt;0,SUM($M$5:$M47),0)</f>
        <v>0</v>
      </c>
      <c r="Q47">
        <f>IF($N47&lt;&gt;0,SUM($N$5:$N47)+15,0)</f>
        <v>0</v>
      </c>
      <c r="R47">
        <f>IF($O47&lt;&gt;0,SUM($O$6:$O47)+30,0)</f>
        <v>0</v>
      </c>
      <c r="S47">
        <f t="shared" si="19"/>
        <v>0</v>
      </c>
      <c r="T47">
        <f t="shared" si="20"/>
        <v>0</v>
      </c>
      <c r="U47">
        <f t="shared" si="21"/>
        <v>0</v>
      </c>
      <c r="V47" s="17"/>
    </row>
    <row r="48" spans="1:22" ht="12.75">
      <c r="A48" s="8">
        <f t="shared" si="15"/>
        <v>0</v>
      </c>
      <c r="C48" s="3" t="s">
        <v>3</v>
      </c>
      <c r="D48" s="3" t="s">
        <v>341</v>
      </c>
      <c r="E48">
        <f>VLOOKUP($D48,UKdata!$A$2:$E$202,2,FALSE)</f>
        <v>0</v>
      </c>
      <c r="F48">
        <f>IF($C48="Reg-8",VLOOKUP($D48,UKdata!$A$2:$E$202,3,FALSE),0)</f>
        <v>0</v>
      </c>
      <c r="G48">
        <f>IF($C48="Exp-8",VLOOKUP($D48,UKdata!$A$2:$E$202,4,FALSE),0)</f>
        <v>0</v>
      </c>
      <c r="H48">
        <f>IF($C48="Vet-9",VLOOKUP($D48,UKdata!$A$2:$E$202,5,FALSE),0)</f>
        <v>0</v>
      </c>
      <c r="I48">
        <f aca="true" t="shared" si="26" ref="I48:I56">SUM(F48:H48)</f>
        <v>0</v>
      </c>
      <c r="J48" s="3">
        <v>0</v>
      </c>
      <c r="K48" s="17">
        <f>VLOOKUP($D48,UKdata!$A$2:$F$202,6,FALSE)</f>
        <v>0</v>
      </c>
      <c r="M48">
        <f t="shared" si="16"/>
        <v>0</v>
      </c>
      <c r="N48">
        <f t="shared" si="17"/>
        <v>0</v>
      </c>
      <c r="O48">
        <f t="shared" si="18"/>
        <v>0</v>
      </c>
      <c r="P48">
        <f>IF($M48&lt;&gt;0,SUM($M$5:$M48),0)</f>
        <v>0</v>
      </c>
      <c r="Q48">
        <f>IF($N48&lt;&gt;0,SUM($N$5:$N48)+15,0)</f>
        <v>0</v>
      </c>
      <c r="R48">
        <f>IF($O48&lt;&gt;0,SUM($O$6:$O48)+30,0)</f>
        <v>0</v>
      </c>
      <c r="S48">
        <f t="shared" si="19"/>
        <v>0</v>
      </c>
      <c r="T48">
        <f t="shared" si="20"/>
        <v>0</v>
      </c>
      <c r="U48">
        <f t="shared" si="21"/>
        <v>0</v>
      </c>
      <c r="V48" s="17" t="e">
        <f>VLOOKUP($D48,UKdata!$A$2:$F$49,6,FALSE)</f>
        <v>#N/A</v>
      </c>
    </row>
    <row r="49" spans="1:22" ht="12.75">
      <c r="A49" s="8">
        <f t="shared" si="15"/>
        <v>0</v>
      </c>
      <c r="C49" s="3" t="s">
        <v>3</v>
      </c>
      <c r="D49" s="3" t="s">
        <v>341</v>
      </c>
      <c r="E49">
        <f>VLOOKUP($D49,UKdata!$A$2:$E$202,2,FALSE)</f>
        <v>0</v>
      </c>
      <c r="F49">
        <f>IF($C49="Reg-8",VLOOKUP($D49,UKdata!$A$2:$E$202,3,FALSE),0)</f>
        <v>0</v>
      </c>
      <c r="G49">
        <f>IF($C49="Exp-8",VLOOKUP($D49,UKdata!$A$2:$E$202,4,FALSE),0)</f>
        <v>0</v>
      </c>
      <c r="H49">
        <f>IF($C49="Vet-9",VLOOKUP($D49,UKdata!$A$2:$E$202,5,FALSE),0)</f>
        <v>0</v>
      </c>
      <c r="I49">
        <f t="shared" si="26"/>
        <v>0</v>
      </c>
      <c r="J49" s="3">
        <v>0</v>
      </c>
      <c r="K49" s="17">
        <f>VLOOKUP($D49,UKdata!$A$2:$F$202,6,FALSE)</f>
        <v>0</v>
      </c>
      <c r="M49">
        <f t="shared" si="16"/>
        <v>0</v>
      </c>
      <c r="N49">
        <f t="shared" si="17"/>
        <v>0</v>
      </c>
      <c r="O49">
        <f t="shared" si="18"/>
        <v>0</v>
      </c>
      <c r="P49">
        <f>IF($M49&lt;&gt;0,SUM($M$5:$M49),0)</f>
        <v>0</v>
      </c>
      <c r="Q49">
        <f>IF($N49&lt;&gt;0,SUM($N$5:$N49)+15,0)</f>
        <v>0</v>
      </c>
      <c r="R49">
        <f>IF($O49&lt;&gt;0,SUM($O$6:$O49)+30,0)</f>
        <v>0</v>
      </c>
      <c r="S49">
        <f aca="true" t="shared" si="27" ref="S49:U59">IF(M49&gt;0,$I49,0)</f>
        <v>0</v>
      </c>
      <c r="T49">
        <f t="shared" si="27"/>
        <v>0</v>
      </c>
      <c r="U49">
        <f t="shared" si="27"/>
        <v>0</v>
      </c>
      <c r="V49" s="17" t="e">
        <f>VLOOKUP($D49,UKdata!$A$2:$F$49,6,FALSE)</f>
        <v>#N/A</v>
      </c>
    </row>
    <row r="50" spans="1:22" ht="12.75">
      <c r="A50" s="8">
        <f t="shared" si="15"/>
        <v>0</v>
      </c>
      <c r="C50" s="3" t="s">
        <v>3</v>
      </c>
      <c r="D50" s="3" t="s">
        <v>341</v>
      </c>
      <c r="E50">
        <f>VLOOKUP($D50,UKdata!$A$2:$E$202,2,FALSE)</f>
        <v>0</v>
      </c>
      <c r="F50">
        <f>IF($C50="Reg-8",VLOOKUP($D50,UKdata!$A$2:$E$202,3,FALSE),0)</f>
        <v>0</v>
      </c>
      <c r="G50">
        <f>IF($C50="Exp-8",VLOOKUP($D50,UKdata!$A$2:$E$202,4,FALSE),0)</f>
        <v>0</v>
      </c>
      <c r="H50">
        <f>IF($C50="Vet-9",VLOOKUP($D50,UKdata!$A$2:$E$202,5,FALSE),0)</f>
        <v>0</v>
      </c>
      <c r="I50">
        <f t="shared" si="26"/>
        <v>0</v>
      </c>
      <c r="J50" s="3">
        <v>0</v>
      </c>
      <c r="K50" s="17">
        <f>VLOOKUP($D50,UKdata!$A$2:$F$202,6,FALSE)</f>
        <v>0</v>
      </c>
      <c r="M50">
        <f t="shared" si="16"/>
        <v>0</v>
      </c>
      <c r="N50">
        <f t="shared" si="17"/>
        <v>0</v>
      </c>
      <c r="O50">
        <f t="shared" si="18"/>
        <v>0</v>
      </c>
      <c r="P50">
        <f>IF($M50&lt;&gt;0,SUM($M$5:$M50),0)</f>
        <v>0</v>
      </c>
      <c r="Q50">
        <f>IF($N50&lt;&gt;0,SUM($N$5:$N50)+15,0)</f>
        <v>0</v>
      </c>
      <c r="R50">
        <f>IF($O50&lt;&gt;0,SUM($O$6:$O50)+30,0)</f>
        <v>0</v>
      </c>
      <c r="S50">
        <f t="shared" si="27"/>
        <v>0</v>
      </c>
      <c r="T50">
        <f t="shared" si="27"/>
        <v>0</v>
      </c>
      <c r="U50">
        <f t="shared" si="27"/>
        <v>0</v>
      </c>
      <c r="V50" s="17" t="e">
        <f>VLOOKUP($D50,UKdata!$A$2:$F$49,6,FALSE)</f>
        <v>#N/A</v>
      </c>
    </row>
    <row r="51" spans="1:22" ht="13.5" customHeight="1">
      <c r="A51" s="8">
        <f t="shared" si="15"/>
        <v>0</v>
      </c>
      <c r="C51" s="3" t="s">
        <v>3</v>
      </c>
      <c r="D51" s="3" t="s">
        <v>331</v>
      </c>
      <c r="E51">
        <f>VLOOKUP($D51,UKdata!$A$2:$E$202,2,FALSE)</f>
        <v>0</v>
      </c>
      <c r="F51">
        <f>IF($C51="Reg-8",VLOOKUP($D51,UKdata!$A$2:$E$202,3,FALSE),0)</f>
        <v>0</v>
      </c>
      <c r="G51">
        <f>IF($C51="Exp-8",VLOOKUP($D51,UKdata!$A$2:$E$202,4,FALSE),0)</f>
        <v>0</v>
      </c>
      <c r="H51">
        <f>IF($C51="Vet-9",VLOOKUP($D51,UKdata!$A$2:$E$202,5,FALSE),0)</f>
        <v>0</v>
      </c>
      <c r="I51">
        <f t="shared" si="26"/>
        <v>0</v>
      </c>
      <c r="J51" s="3">
        <v>0</v>
      </c>
      <c r="K51" s="17">
        <f>VLOOKUP($D51,UKdata!$A$2:$F$202,6,FALSE)</f>
        <v>0</v>
      </c>
      <c r="M51">
        <f t="shared" si="16"/>
        <v>0</v>
      </c>
      <c r="N51">
        <f t="shared" si="17"/>
        <v>0</v>
      </c>
      <c r="O51">
        <f t="shared" si="18"/>
        <v>0</v>
      </c>
      <c r="P51">
        <f>IF($M51&lt;&gt;0,SUM($M$5:$M51),0)</f>
        <v>0</v>
      </c>
      <c r="Q51">
        <f>IF($N51&lt;&gt;0,SUM($N$5:$N51)+15,0)</f>
        <v>0</v>
      </c>
      <c r="R51">
        <f>IF($O51&lt;&gt;0,SUM($O$6:$O51)+30,0)</f>
        <v>0</v>
      </c>
      <c r="S51">
        <f t="shared" si="27"/>
        <v>0</v>
      </c>
      <c r="T51">
        <f t="shared" si="27"/>
        <v>0</v>
      </c>
      <c r="U51">
        <f t="shared" si="27"/>
        <v>0</v>
      </c>
      <c r="V51" s="17" t="e">
        <f>VLOOKUP($D51,UKdata!$A$2:$F$49,6,FALSE)</f>
        <v>#N/A</v>
      </c>
    </row>
    <row r="52" spans="1:22" ht="13.5" customHeight="1">
      <c r="A52" s="8">
        <f t="shared" si="15"/>
        <v>0</v>
      </c>
      <c r="C52" s="3" t="s">
        <v>3</v>
      </c>
      <c r="D52" s="3" t="s">
        <v>331</v>
      </c>
      <c r="E52">
        <f>VLOOKUP($D52,UKdata!$A$2:$E$202,2,FALSE)</f>
        <v>0</v>
      </c>
      <c r="F52">
        <f>IF($C52="Reg-8",VLOOKUP($D52,UKdata!$A$2:$E$202,3,FALSE),0)</f>
        <v>0</v>
      </c>
      <c r="G52">
        <f>IF($C52="Exp-8",VLOOKUP($D52,UKdata!$A$2:$E$202,4,FALSE),0)</f>
        <v>0</v>
      </c>
      <c r="H52">
        <f>IF($C52="Vet-9",VLOOKUP($D52,UKdata!$A$2:$E$202,5,FALSE),0)</f>
        <v>0</v>
      </c>
      <c r="I52">
        <f t="shared" si="26"/>
        <v>0</v>
      </c>
      <c r="J52" s="3">
        <v>0</v>
      </c>
      <c r="K52" s="17">
        <f>VLOOKUP($D52,UKdata!$A$2:$F$202,6,FALSE)</f>
        <v>0</v>
      </c>
      <c r="M52">
        <f t="shared" si="16"/>
        <v>0</v>
      </c>
      <c r="N52">
        <f t="shared" si="17"/>
        <v>0</v>
      </c>
      <c r="O52">
        <f t="shared" si="18"/>
        <v>0</v>
      </c>
      <c r="P52">
        <f>IF($M52&lt;&gt;0,SUM($M$5:$M52),0)</f>
        <v>0</v>
      </c>
      <c r="Q52">
        <f>IF($N52&lt;&gt;0,SUM($N$5:$N52)+15,0)</f>
        <v>0</v>
      </c>
      <c r="R52">
        <f>IF($O52&lt;&gt;0,SUM($O$6:$O52)+30,0)</f>
        <v>0</v>
      </c>
      <c r="S52">
        <f t="shared" si="27"/>
        <v>0</v>
      </c>
      <c r="T52">
        <f t="shared" si="27"/>
        <v>0</v>
      </c>
      <c r="U52">
        <f t="shared" si="27"/>
        <v>0</v>
      </c>
      <c r="V52" s="17" t="e">
        <f>VLOOKUP($D52,UKdata!$A$2:$F$49,6,FALSE)</f>
        <v>#N/A</v>
      </c>
    </row>
    <row r="53" spans="1:22" ht="13.5" customHeight="1">
      <c r="A53" s="8">
        <f t="shared" si="15"/>
        <v>0</v>
      </c>
      <c r="C53" s="3" t="s">
        <v>3</v>
      </c>
      <c r="D53" s="3" t="s">
        <v>331</v>
      </c>
      <c r="E53">
        <f>VLOOKUP($D53,UKdata!$A$2:$E$202,2,FALSE)</f>
        <v>0</v>
      </c>
      <c r="F53">
        <f>IF($C53="Reg-8",VLOOKUP($D53,UKdata!$A$2:$E$202,3,FALSE),0)</f>
        <v>0</v>
      </c>
      <c r="G53">
        <f>IF($C53="Exp-8",VLOOKUP($D53,UKdata!$A$2:$E$202,4,FALSE),0)</f>
        <v>0</v>
      </c>
      <c r="H53">
        <f>IF($C53="Vet-9",VLOOKUP($D53,UKdata!$A$2:$E$202,5,FALSE),0)</f>
        <v>0</v>
      </c>
      <c r="I53">
        <f t="shared" si="26"/>
        <v>0</v>
      </c>
      <c r="J53" s="3">
        <v>0</v>
      </c>
      <c r="K53" s="17">
        <f>VLOOKUP($D53,UKdata!$A$2:$F$202,6,FALSE)</f>
        <v>0</v>
      </c>
      <c r="M53">
        <f t="shared" si="16"/>
        <v>0</v>
      </c>
      <c r="N53">
        <f t="shared" si="17"/>
        <v>0</v>
      </c>
      <c r="O53">
        <f t="shared" si="18"/>
        <v>0</v>
      </c>
      <c r="P53">
        <f>IF($M53&lt;&gt;0,SUM($M$5:$M53),0)</f>
        <v>0</v>
      </c>
      <c r="Q53">
        <f>IF($N53&lt;&gt;0,SUM($N$5:$N53)+15,0)</f>
        <v>0</v>
      </c>
      <c r="R53">
        <f>IF($O53&lt;&gt;0,SUM($O$6:$O53)+30,0)</f>
        <v>0</v>
      </c>
      <c r="S53">
        <f t="shared" si="27"/>
        <v>0</v>
      </c>
      <c r="T53">
        <f t="shared" si="27"/>
        <v>0</v>
      </c>
      <c r="U53">
        <f t="shared" si="27"/>
        <v>0</v>
      </c>
      <c r="V53" s="17" t="e">
        <f>VLOOKUP($D53,UKdata!$A$2:$F$49,6,FALSE)</f>
        <v>#N/A</v>
      </c>
    </row>
    <row r="54" spans="1:22" ht="12.75">
      <c r="A54" s="8">
        <f t="shared" si="15"/>
        <v>0</v>
      </c>
      <c r="C54" s="3" t="s">
        <v>3</v>
      </c>
      <c r="D54" s="3" t="s">
        <v>335</v>
      </c>
      <c r="E54">
        <f>VLOOKUP($D54,UKdata!$A$2:$E$202,2,FALSE)</f>
        <v>0</v>
      </c>
      <c r="F54">
        <f>IF($C54="Reg-8",VLOOKUP($D54,UKdata!$A$2:$E$202,3,FALSE),0)</f>
        <v>0</v>
      </c>
      <c r="G54">
        <f>IF($C54="Exp-8",VLOOKUP($D54,UKdata!$A$2:$E$202,4,FALSE),0)</f>
        <v>0</v>
      </c>
      <c r="H54">
        <f>IF($C54="Vet-9",VLOOKUP($D54,UKdata!$A$2:$E$202,5,FALSE),0)</f>
        <v>0</v>
      </c>
      <c r="I54">
        <f t="shared" si="26"/>
        <v>0</v>
      </c>
      <c r="J54" s="3">
        <v>0</v>
      </c>
      <c r="K54" s="17"/>
      <c r="M54">
        <f t="shared" si="16"/>
        <v>0</v>
      </c>
      <c r="N54">
        <f t="shared" si="17"/>
        <v>0</v>
      </c>
      <c r="O54">
        <f t="shared" si="18"/>
        <v>0</v>
      </c>
      <c r="P54">
        <f>IF($M54&lt;&gt;0,SUM($M$5:$M54),0)</f>
        <v>0</v>
      </c>
      <c r="Q54">
        <f>IF($N54&lt;&gt;0,SUM($N$5:$N54)+15,0)</f>
        <v>0</v>
      </c>
      <c r="R54">
        <f>IF($O54&lt;&gt;0,SUM($O$6:$O54)+30,0)</f>
        <v>0</v>
      </c>
      <c r="S54">
        <f t="shared" si="27"/>
        <v>0</v>
      </c>
      <c r="T54">
        <f t="shared" si="27"/>
        <v>0</v>
      </c>
      <c r="U54">
        <f t="shared" si="27"/>
        <v>0</v>
      </c>
      <c r="V54" s="17"/>
    </row>
    <row r="55" spans="1:22" ht="12.75">
      <c r="A55" s="8">
        <f t="shared" si="15"/>
        <v>0</v>
      </c>
      <c r="C55" s="3" t="s">
        <v>3</v>
      </c>
      <c r="D55" s="3" t="s">
        <v>338</v>
      </c>
      <c r="E55">
        <f>VLOOKUP($D55,UKdata!$A$2:$E$202,2,FALSE)</f>
        <v>0</v>
      </c>
      <c r="F55">
        <f>IF($C55="Reg-8",VLOOKUP($D55,UKdata!$A$2:$E$49,3,FALSE),0)</f>
        <v>0</v>
      </c>
      <c r="G55">
        <f>IF($C55="Exp-8",VLOOKUP($D55,UKdata!$A$2:$E$49,4,FALSE),0)</f>
        <v>0</v>
      </c>
      <c r="H55">
        <f>IF($C55="Vet-9",VLOOKUP($D55,UKdata!$A$2:$E$202,5,FALSE),0)</f>
        <v>0</v>
      </c>
      <c r="I55">
        <f t="shared" si="26"/>
        <v>0</v>
      </c>
      <c r="J55" s="3">
        <v>0</v>
      </c>
      <c r="K55" s="17"/>
      <c r="M55">
        <f t="shared" si="16"/>
        <v>0</v>
      </c>
      <c r="N55">
        <f t="shared" si="17"/>
        <v>0</v>
      </c>
      <c r="O55">
        <f t="shared" si="18"/>
        <v>0</v>
      </c>
      <c r="P55">
        <f>IF($M55&lt;&gt;0,SUM($M$5:$M55),0)</f>
        <v>0</v>
      </c>
      <c r="Q55">
        <f>IF($N55&lt;&gt;0,SUM($N$5:$N55)+15,0)</f>
        <v>0</v>
      </c>
      <c r="R55">
        <f>IF($O55&lt;&gt;0,SUM($O$6:$O55)+30,0)</f>
        <v>0</v>
      </c>
      <c r="S55">
        <f t="shared" si="27"/>
        <v>0</v>
      </c>
      <c r="T55">
        <f t="shared" si="27"/>
        <v>0</v>
      </c>
      <c r="U55">
        <f t="shared" si="27"/>
        <v>0</v>
      </c>
      <c r="V55" s="17"/>
    </row>
    <row r="56" spans="3:22" ht="12.75">
      <c r="C56" s="3" t="s">
        <v>3</v>
      </c>
      <c r="D56" s="3" t="s">
        <v>200</v>
      </c>
      <c r="E56">
        <f>VLOOKUP($D56,UKdata!$A$2:$E$202,2,FALSE)</f>
        <v>0</v>
      </c>
      <c r="F56">
        <f>IF($C56="Reg-8",VLOOKUP($D56,UKdata!$A$2:$E$202,3,FALSE),0)</f>
        <v>0</v>
      </c>
      <c r="G56">
        <f>IF($C56="Exp-8",VLOOKUP($D56,UKdata!$A$2:$E$202,4,FALSE),0)</f>
        <v>0</v>
      </c>
      <c r="H56">
        <f>IF($C56="Vet-9",VLOOKUP($D56,UKdata!$A$2:$E$202,5,FALSE),0)</f>
        <v>0</v>
      </c>
      <c r="I56">
        <f t="shared" si="26"/>
        <v>0</v>
      </c>
      <c r="J56" s="3">
        <v>0</v>
      </c>
      <c r="K56" s="17"/>
      <c r="M56">
        <f t="shared" si="16"/>
        <v>0</v>
      </c>
      <c r="N56">
        <f t="shared" si="17"/>
        <v>0</v>
      </c>
      <c r="O56">
        <f t="shared" si="18"/>
        <v>0</v>
      </c>
      <c r="P56">
        <f>IF($M56&lt;&gt;0,SUM($M$5:$M56),0)</f>
        <v>0</v>
      </c>
      <c r="Q56">
        <f>IF($N56&lt;&gt;0,SUM($N$5:$N56)+15,0)</f>
        <v>0</v>
      </c>
      <c r="R56">
        <f>IF($O56&lt;&gt;0,SUM($O$6:$O56)+30,0)</f>
        <v>0</v>
      </c>
      <c r="S56">
        <f t="shared" si="27"/>
        <v>0</v>
      </c>
      <c r="T56">
        <f t="shared" si="27"/>
        <v>0</v>
      </c>
      <c r="U56">
        <f t="shared" si="27"/>
        <v>0</v>
      </c>
      <c r="V56" s="17"/>
    </row>
    <row r="57" spans="1:22" ht="15.75">
      <c r="A57" s="8" t="s">
        <v>26</v>
      </c>
      <c r="C57">
        <v>0</v>
      </c>
      <c r="D57" s="11">
        <f>IF(SUM(K16:K56)&lt;-1,"Error - Dedicated arty limited to HQ units",0)</f>
        <v>0</v>
      </c>
      <c r="J57">
        <v>0</v>
      </c>
      <c r="M57">
        <f t="shared" si="16"/>
        <v>0</v>
      </c>
      <c r="N57">
        <f t="shared" si="17"/>
        <v>0</v>
      </c>
      <c r="O57">
        <f t="shared" si="18"/>
        <v>0</v>
      </c>
      <c r="P57">
        <f>IF($M57&lt;&gt;0,SUM($M$5:$M57),0)</f>
        <v>0</v>
      </c>
      <c r="Q57">
        <f>IF($N57&lt;&gt;0,SUM($N$5:$N57)+15,0)</f>
        <v>0</v>
      </c>
      <c r="R57">
        <f>IF($O57&lt;&gt;0,SUM($O$6:$O57)+30,0)</f>
        <v>0</v>
      </c>
      <c r="S57">
        <f t="shared" si="27"/>
        <v>0</v>
      </c>
      <c r="T57">
        <f t="shared" si="27"/>
        <v>0</v>
      </c>
      <c r="U57">
        <f t="shared" si="27"/>
        <v>0</v>
      </c>
      <c r="V57" s="17"/>
    </row>
    <row r="58" spans="1:22" ht="12.75">
      <c r="A58" s="8" t="s">
        <v>27</v>
      </c>
      <c r="C58">
        <v>0</v>
      </c>
      <c r="J58">
        <v>0</v>
      </c>
      <c r="M58">
        <f t="shared" si="16"/>
        <v>0</v>
      </c>
      <c r="N58">
        <f t="shared" si="17"/>
        <v>0</v>
      </c>
      <c r="O58">
        <f t="shared" si="18"/>
        <v>0</v>
      </c>
      <c r="P58">
        <f>IF($M58&lt;&gt;0,SUM($M$5:$M58),0)</f>
        <v>0</v>
      </c>
      <c r="Q58">
        <f>IF($N58&lt;&gt;0,SUM($N$5:$N58)+15,0)</f>
        <v>0</v>
      </c>
      <c r="R58">
        <f>IF($O58&lt;&gt;0,SUM($O$6:$O58)+30,0)</f>
        <v>0</v>
      </c>
      <c r="S58">
        <f t="shared" si="27"/>
        <v>0</v>
      </c>
      <c r="T58">
        <f t="shared" si="27"/>
        <v>0</v>
      </c>
      <c r="U58">
        <f t="shared" si="27"/>
        <v>0</v>
      </c>
      <c r="V58" s="17"/>
    </row>
    <row r="59" spans="1:22" ht="15" customHeight="1">
      <c r="A59" s="8" t="s">
        <v>28</v>
      </c>
      <c r="C59">
        <v>0</v>
      </c>
      <c r="J59">
        <v>0</v>
      </c>
      <c r="M59">
        <f t="shared" si="16"/>
        <v>0</v>
      </c>
      <c r="N59">
        <f t="shared" si="17"/>
        <v>0</v>
      </c>
      <c r="O59">
        <f t="shared" si="18"/>
        <v>0</v>
      </c>
      <c r="P59">
        <f>IF($M59&lt;&gt;0,SUM($M$5:$M59),0)</f>
        <v>0</v>
      </c>
      <c r="Q59">
        <f>IF($N59&lt;&gt;0,SUM($N$5:$N59)+15,0)</f>
        <v>0</v>
      </c>
      <c r="R59">
        <f>IF($O59&lt;&gt;0,SUM($O$6:$O59)+30,0)</f>
        <v>0</v>
      </c>
      <c r="S59">
        <f t="shared" si="27"/>
        <v>0</v>
      </c>
      <c r="T59">
        <f t="shared" si="27"/>
        <v>0</v>
      </c>
      <c r="U59">
        <f t="shared" si="27"/>
        <v>0</v>
      </c>
      <c r="V59" s="17"/>
    </row>
    <row r="60" spans="1:22" ht="15" customHeight="1">
      <c r="A60" s="8" t="s">
        <v>29</v>
      </c>
      <c r="C60">
        <v>0</v>
      </c>
      <c r="J60">
        <v>0</v>
      </c>
      <c r="V60" s="17"/>
    </row>
    <row r="61" spans="1:22" ht="15" customHeight="1">
      <c r="A61" s="8" t="s">
        <v>30</v>
      </c>
      <c r="C61">
        <v>0</v>
      </c>
      <c r="J61">
        <v>0</v>
      </c>
      <c r="V61" s="17"/>
    </row>
    <row r="62" spans="1:22" ht="15" customHeight="1" hidden="1">
      <c r="A62" s="8" t="s">
        <v>31</v>
      </c>
      <c r="C62">
        <v>0</v>
      </c>
      <c r="J62">
        <v>0</v>
      </c>
      <c r="V62" s="17"/>
    </row>
    <row r="63" spans="1:22" ht="15" customHeight="1" hidden="1">
      <c r="A63" s="8" t="s">
        <v>32</v>
      </c>
      <c r="C63">
        <v>0</v>
      </c>
      <c r="J63">
        <v>0</v>
      </c>
      <c r="V63" s="17"/>
    </row>
    <row r="64" spans="1:22" ht="15" customHeight="1" hidden="1">
      <c r="A64" s="8" t="s">
        <v>33</v>
      </c>
      <c r="J64">
        <v>0</v>
      </c>
      <c r="V64" s="17"/>
    </row>
    <row r="65" spans="1:22" ht="15" customHeight="1" hidden="1">
      <c r="A65" s="8" t="s">
        <v>34</v>
      </c>
      <c r="J65">
        <v>0</v>
      </c>
      <c r="V65" s="17"/>
    </row>
    <row r="66" spans="1:22" ht="15" customHeight="1" hidden="1">
      <c r="A66" s="8" t="s">
        <v>25</v>
      </c>
      <c r="J66">
        <v>0</v>
      </c>
      <c r="V66" s="17"/>
    </row>
    <row r="67" spans="1:22" ht="15" customHeight="1" hidden="1">
      <c r="A67" s="8" t="s">
        <v>24</v>
      </c>
      <c r="J67">
        <v>0</v>
      </c>
      <c r="V67" s="17"/>
    </row>
    <row r="68" spans="1:22" ht="15" customHeight="1" hidden="1">
      <c r="A68" s="8" t="s">
        <v>23</v>
      </c>
      <c r="J68">
        <v>0</v>
      </c>
      <c r="V68" s="17"/>
    </row>
    <row r="69" spans="1:22" ht="15" customHeight="1" hidden="1">
      <c r="A69" s="8" t="s">
        <v>22</v>
      </c>
      <c r="J69">
        <v>0</v>
      </c>
      <c r="V69" s="17"/>
    </row>
    <row r="70" spans="1:22" ht="15" customHeight="1" hidden="1">
      <c r="A70" s="8" t="s">
        <v>21</v>
      </c>
      <c r="J70">
        <v>0</v>
      </c>
      <c r="V70" s="17"/>
    </row>
    <row r="71" spans="1:22" ht="15" customHeight="1" hidden="1">
      <c r="A71" s="8" t="s">
        <v>20</v>
      </c>
      <c r="J71">
        <v>0</v>
      </c>
      <c r="V71" s="17"/>
    </row>
    <row r="72" spans="1:22" ht="15" customHeight="1" hidden="1">
      <c r="A72" s="8" t="s">
        <v>35</v>
      </c>
      <c r="J72">
        <v>0</v>
      </c>
      <c r="V72" s="17"/>
    </row>
    <row r="73" spans="1:22" ht="15" customHeight="1" hidden="1">
      <c r="A73" s="8" t="s">
        <v>36</v>
      </c>
      <c r="J73">
        <v>0</v>
      </c>
      <c r="V73" s="17"/>
    </row>
    <row r="74" spans="1:22" ht="15" customHeight="1" hidden="1">
      <c r="A74" s="8" t="s">
        <v>37</v>
      </c>
      <c r="J74">
        <v>0</v>
      </c>
      <c r="V74" s="17"/>
    </row>
    <row r="75" spans="1:22" ht="15" customHeight="1" hidden="1">
      <c r="A75" s="8" t="s">
        <v>38</v>
      </c>
      <c r="V75" s="17"/>
    </row>
    <row r="76" spans="1:22" ht="15" customHeight="1" hidden="1">
      <c r="A76" s="8" t="s">
        <v>39</v>
      </c>
      <c r="V76" s="17"/>
    </row>
    <row r="77" spans="1:22" ht="15" customHeight="1" hidden="1">
      <c r="A77" s="8" t="s">
        <v>46</v>
      </c>
      <c r="V77" s="17"/>
    </row>
    <row r="78" spans="1:22" ht="15" customHeight="1" hidden="1">
      <c r="A78" s="8" t="s">
        <v>47</v>
      </c>
      <c r="V78" s="17"/>
    </row>
    <row r="79" spans="1:22" ht="15" customHeight="1" hidden="1">
      <c r="A79" s="8" t="s">
        <v>48</v>
      </c>
      <c r="V79" s="17"/>
    </row>
    <row r="80" spans="1:22" ht="15" customHeight="1" hidden="1">
      <c r="A80" s="8" t="s">
        <v>49</v>
      </c>
      <c r="V80" s="17"/>
    </row>
    <row r="81" spans="1:22" ht="15" customHeight="1" hidden="1">
      <c r="A81" s="8" t="s">
        <v>50</v>
      </c>
      <c r="V81" s="17"/>
    </row>
    <row r="82" spans="1:22" ht="15" customHeight="1" hidden="1">
      <c r="A82" s="8" t="s">
        <v>51</v>
      </c>
      <c r="V82" s="17"/>
    </row>
    <row r="83" spans="1:22" ht="15" customHeight="1" hidden="1">
      <c r="A83" s="8" t="s">
        <v>52</v>
      </c>
      <c r="V83" s="17"/>
    </row>
    <row r="84" spans="1:22" ht="15" customHeight="1" hidden="1">
      <c r="A84" s="8" t="s">
        <v>53</v>
      </c>
      <c r="V84" s="17"/>
    </row>
    <row r="85" spans="1:22" ht="15" customHeight="1" hidden="1">
      <c r="A85" s="8" t="s">
        <v>54</v>
      </c>
      <c r="V85" s="17"/>
    </row>
    <row r="86" spans="1:22" ht="15" customHeight="1" hidden="1">
      <c r="A86" s="8" t="s">
        <v>55</v>
      </c>
      <c r="V86" s="17"/>
    </row>
    <row r="87" spans="1:22" ht="15" customHeight="1" hidden="1">
      <c r="A87" s="8" t="s">
        <v>64</v>
      </c>
      <c r="V87" s="17"/>
    </row>
    <row r="88" spans="1:22" ht="15" customHeight="1" hidden="1">
      <c r="A88" s="8" t="s">
        <v>65</v>
      </c>
      <c r="V88" s="17"/>
    </row>
    <row r="89" spans="1:22" ht="15" customHeight="1" hidden="1">
      <c r="A89" s="8" t="s">
        <v>66</v>
      </c>
      <c r="V89" s="17"/>
    </row>
    <row r="90" spans="1:22" ht="15" customHeight="1" hidden="1">
      <c r="A90" s="8" t="s">
        <v>67</v>
      </c>
      <c r="V90" s="17"/>
    </row>
    <row r="91" spans="1:22" ht="15" customHeight="1" hidden="1">
      <c r="A91" s="8" t="s">
        <v>68</v>
      </c>
      <c r="V91" s="17"/>
    </row>
    <row r="92" spans="1:22" ht="15" customHeight="1" hidden="1">
      <c r="A92" s="8" t="s">
        <v>69</v>
      </c>
      <c r="V92" s="17"/>
    </row>
    <row r="93" spans="1:22" ht="15" customHeight="1" hidden="1">
      <c r="A93" s="8" t="s">
        <v>70</v>
      </c>
      <c r="V93" s="17"/>
    </row>
    <row r="94" spans="1:22" ht="15" customHeight="1" hidden="1">
      <c r="A94" s="8" t="s">
        <v>71</v>
      </c>
      <c r="V94" s="17"/>
    </row>
    <row r="95" spans="1:22" ht="15" customHeight="1" hidden="1">
      <c r="A95" s="8" t="s">
        <v>72</v>
      </c>
      <c r="V95" s="17"/>
    </row>
    <row r="96" spans="1:22" ht="15" customHeight="1" hidden="1">
      <c r="A96" s="8" t="s">
        <v>73</v>
      </c>
      <c r="V96" s="17"/>
    </row>
    <row r="97" spans="1:22" ht="15" customHeight="1" hidden="1">
      <c r="A97" s="8" t="s">
        <v>74</v>
      </c>
      <c r="V97" s="17"/>
    </row>
    <row r="98" spans="1:22" ht="15" customHeight="1" hidden="1">
      <c r="A98" s="8" t="s">
        <v>75</v>
      </c>
      <c r="V98" s="17"/>
    </row>
    <row r="99" spans="1:22" ht="15" customHeight="1" hidden="1">
      <c r="A99" s="8" t="s">
        <v>76</v>
      </c>
      <c r="V99" s="17"/>
    </row>
    <row r="100" spans="1:22" ht="15" customHeight="1" hidden="1">
      <c r="A100" s="8" t="s">
        <v>77</v>
      </c>
      <c r="V100" s="17"/>
    </row>
    <row r="101" spans="1:22" ht="15" customHeight="1" hidden="1">
      <c r="A101" s="8" t="s">
        <v>78</v>
      </c>
      <c r="V101" s="17"/>
    </row>
    <row r="102" spans="1:22" ht="15" customHeight="1" hidden="1">
      <c r="A102" s="8" t="s">
        <v>79</v>
      </c>
      <c r="V102" s="17"/>
    </row>
    <row r="103" spans="1:22" ht="15" customHeight="1" hidden="1">
      <c r="A103" s="8" t="s">
        <v>80</v>
      </c>
      <c r="V103" s="17"/>
    </row>
    <row r="104" spans="1:22" ht="15" customHeight="1" hidden="1">
      <c r="A104" s="8" t="s">
        <v>81</v>
      </c>
      <c r="V104" s="17"/>
    </row>
    <row r="105" spans="3:22" ht="15" customHeight="1">
      <c r="C105" s="21" t="s">
        <v>82</v>
      </c>
      <c r="V105" s="17"/>
    </row>
    <row r="106" spans="4:22" ht="18">
      <c r="D106" s="26" t="s">
        <v>43</v>
      </c>
      <c r="V106" s="17"/>
    </row>
    <row r="107" spans="1:22" ht="12.75">
      <c r="A107" s="8" t="s">
        <v>20</v>
      </c>
      <c r="C107">
        <f aca="true" t="shared" si="28" ref="C107:C121">VLOOKUP($A107,$A$2:$E$105,3,FALSE)</f>
        <v>0</v>
      </c>
      <c r="D107">
        <f aca="true" t="shared" si="29" ref="D107:D121">VLOOKUP($A107,$A$2:$E$105,4,FALSE)</f>
        <v>0</v>
      </c>
      <c r="E107">
        <f aca="true" t="shared" si="30" ref="E107:E121">VLOOKUP($A107,$A$2:$E$105,5,FALSE)</f>
        <v>0</v>
      </c>
      <c r="V107" s="17"/>
    </row>
    <row r="108" spans="1:22" ht="12.75">
      <c r="A108" s="8" t="s">
        <v>21</v>
      </c>
      <c r="C108" t="str">
        <f t="shared" si="28"/>
        <v>Reg-8</v>
      </c>
      <c r="D108" t="str">
        <f t="shared" si="29"/>
        <v>Mechanised Batt HQ</v>
      </c>
      <c r="E108" t="str">
        <f t="shared" si="30"/>
        <v>car, Cmd stand</v>
      </c>
      <c r="V108" s="17"/>
    </row>
    <row r="109" spans="1:22" ht="12.75">
      <c r="A109" s="8" t="s">
        <v>22</v>
      </c>
      <c r="C109" t="str">
        <f t="shared" si="28"/>
        <v>Vet-9</v>
      </c>
      <c r="D109" t="str">
        <f t="shared" si="29"/>
        <v>37mm AT Troop</v>
      </c>
      <c r="E109" t="str">
        <f t="shared" si="30"/>
        <v>1 37mm Bofors AT gun portee</v>
      </c>
      <c r="V109" s="17"/>
    </row>
    <row r="110" spans="1:22" ht="12.75">
      <c r="A110" s="8" t="s">
        <v>23</v>
      </c>
      <c r="C110" t="str">
        <f t="shared" si="28"/>
        <v>Reg-8</v>
      </c>
      <c r="D110" t="str">
        <f t="shared" si="29"/>
        <v>Motor Company</v>
      </c>
      <c r="E110" t="str">
        <f t="shared" si="30"/>
        <v>1 Cmd/inf/Boys std, 1 inf std, 2 light trucks</v>
      </c>
      <c r="V110" s="17"/>
    </row>
    <row r="111" spans="1:22" ht="12.75">
      <c r="A111" s="8" t="s">
        <v>24</v>
      </c>
      <c r="C111" t="str">
        <f t="shared" si="28"/>
        <v>Reg-8</v>
      </c>
      <c r="D111" t="str">
        <f t="shared" si="29"/>
        <v>Motor Company</v>
      </c>
      <c r="E111" t="str">
        <f t="shared" si="30"/>
        <v>1 Cmd/inf/Boys std, 1 inf std, 2 light trucks</v>
      </c>
      <c r="V111" s="17"/>
    </row>
    <row r="112" spans="1:22" ht="12.75">
      <c r="A112" s="8" t="s">
        <v>25</v>
      </c>
      <c r="C112" t="str">
        <f t="shared" si="28"/>
        <v>Reg-8</v>
      </c>
      <c r="D112" t="str">
        <f t="shared" si="29"/>
        <v>Motor Company</v>
      </c>
      <c r="E112" t="str">
        <f t="shared" si="30"/>
        <v>1 Cmd/inf/Boys std, 1 inf std, 2 light trucks</v>
      </c>
      <c r="V112" s="17"/>
    </row>
    <row r="113" spans="1:22" ht="12.75">
      <c r="A113" s="8" t="s">
        <v>26</v>
      </c>
      <c r="C113" t="str">
        <f t="shared" si="28"/>
        <v>Reg-8</v>
      </c>
      <c r="D113" t="str">
        <f t="shared" si="29"/>
        <v>Armoured Car Squadron</v>
      </c>
      <c r="E113" t="str">
        <f t="shared" si="30"/>
        <v>1 Cmd/Morris a/car, 1 Rolls Royce a/car, or 2 Marmon or Humber I-III a/car</v>
      </c>
      <c r="V113" s="17"/>
    </row>
    <row r="114" spans="1:22" ht="12.75">
      <c r="A114" s="8" t="s">
        <v>27</v>
      </c>
      <c r="C114" t="str">
        <f t="shared" si="28"/>
        <v>Reg-8</v>
      </c>
      <c r="D114" t="str">
        <f t="shared" si="29"/>
        <v>Onboard 25pdr troop</v>
      </c>
      <c r="E114" t="str">
        <f t="shared" si="30"/>
        <v>1 25pdr gun/crew, 1 Quad mover</v>
      </c>
      <c r="V114" s="17"/>
    </row>
    <row r="115" spans="1:22" ht="12.75">
      <c r="A115" s="8" t="s">
        <v>28</v>
      </c>
      <c r="C115" t="str">
        <f t="shared" si="28"/>
        <v>Vet-9</v>
      </c>
      <c r="D115" t="str">
        <f t="shared" si="29"/>
        <v>2pdr AT Battery</v>
      </c>
      <c r="E115" t="str">
        <f t="shared" si="30"/>
        <v>1 Cmd/inf std, 1 light truck, 2 2pdr Bofors AT guns portee</v>
      </c>
      <c r="V115" s="17"/>
    </row>
    <row r="116" spans="1:22" ht="12.75">
      <c r="A116" s="8" t="s">
        <v>29</v>
      </c>
      <c r="C116" t="str">
        <f t="shared" si="28"/>
        <v>Reg-8</v>
      </c>
      <c r="D116" t="str">
        <f t="shared" si="29"/>
        <v>A15 platoon</v>
      </c>
      <c r="E116" t="str">
        <f t="shared" si="30"/>
        <v>1 A15</v>
      </c>
      <c r="V116" s="17"/>
    </row>
    <row r="117" spans="1:22" ht="12.75">
      <c r="A117" s="8" t="s">
        <v>30</v>
      </c>
      <c r="C117">
        <f t="shared" si="28"/>
        <v>0</v>
      </c>
      <c r="D117">
        <f t="shared" si="29"/>
        <v>0</v>
      </c>
      <c r="E117">
        <f t="shared" si="30"/>
        <v>0</v>
      </c>
      <c r="V117" s="17"/>
    </row>
    <row r="118" spans="1:22" ht="12.75">
      <c r="A118" s="8" t="s">
        <v>31</v>
      </c>
      <c r="C118">
        <f t="shared" si="28"/>
        <v>0</v>
      </c>
      <c r="D118">
        <f t="shared" si="29"/>
        <v>0</v>
      </c>
      <c r="E118">
        <f t="shared" si="30"/>
        <v>0</v>
      </c>
      <c r="V118" s="17"/>
    </row>
    <row r="119" spans="1:22" ht="12.75">
      <c r="A119" s="8" t="s">
        <v>32</v>
      </c>
      <c r="C119">
        <f t="shared" si="28"/>
        <v>0</v>
      </c>
      <c r="D119">
        <f t="shared" si="29"/>
        <v>0</v>
      </c>
      <c r="E119">
        <f t="shared" si="30"/>
        <v>0</v>
      </c>
      <c r="V119" s="17"/>
    </row>
    <row r="120" spans="1:22" ht="12.75">
      <c r="A120" s="8" t="s">
        <v>33</v>
      </c>
      <c r="C120">
        <f t="shared" si="28"/>
        <v>0</v>
      </c>
      <c r="D120">
        <f t="shared" si="29"/>
        <v>0</v>
      </c>
      <c r="E120">
        <f t="shared" si="30"/>
        <v>0</v>
      </c>
      <c r="V120" s="17"/>
    </row>
    <row r="121" spans="1:22" ht="12.75">
      <c r="A121" s="8" t="s">
        <v>34</v>
      </c>
      <c r="C121">
        <f t="shared" si="28"/>
        <v>0</v>
      </c>
      <c r="D121">
        <f t="shared" si="29"/>
        <v>0</v>
      </c>
      <c r="E121">
        <f t="shared" si="30"/>
        <v>0</v>
      </c>
      <c r="V121" s="17"/>
    </row>
    <row r="122" spans="4:22" ht="18">
      <c r="D122" s="26" t="s">
        <v>44</v>
      </c>
      <c r="V122" s="17"/>
    </row>
    <row r="123" spans="1:5" ht="12.75">
      <c r="A123" s="8" t="s">
        <v>35</v>
      </c>
      <c r="C123" t="str">
        <f aca="true" t="shared" si="31" ref="C123:C137">VLOOKUP($A123,$A$2:$E$105,3,FALSE)</f>
        <v>Vet-9</v>
      </c>
      <c r="D123" t="str">
        <f aca="true" t="shared" si="32" ref="D123:D137">VLOOKUP($A123,$A$2:$E$105,4,FALSE)</f>
        <v>2pdr AT Battery</v>
      </c>
      <c r="E123" t="str">
        <f aca="true" t="shared" si="33" ref="E123:E137">VLOOKUP($A123,$A$2:$E$105,5,FALSE)</f>
        <v>1 Cmd/inf std, 1 light truck, 2 2pdr Bofors AT guns portee</v>
      </c>
    </row>
    <row r="124" spans="1:5" ht="12.75">
      <c r="A124" s="8" t="s">
        <v>36</v>
      </c>
      <c r="C124" t="str">
        <f t="shared" si="31"/>
        <v>Reg-8</v>
      </c>
      <c r="D124" t="str">
        <f t="shared" si="32"/>
        <v>A15 cruiser sq</v>
      </c>
      <c r="E124" t="str">
        <f t="shared" si="33"/>
        <v>1 Cmd/A15 or Honey, 1 A15 or Honey</v>
      </c>
    </row>
    <row r="125" spans="1:5" ht="12.75">
      <c r="A125" s="8" t="s">
        <v>37</v>
      </c>
      <c r="C125" t="str">
        <f t="shared" si="31"/>
        <v>Reg-8</v>
      </c>
      <c r="D125" t="str">
        <f t="shared" si="32"/>
        <v>A15 cruiser sq</v>
      </c>
      <c r="E125" t="str">
        <f t="shared" si="33"/>
        <v>1 Cmd/A15 or Honey, 1 A15 or Honey</v>
      </c>
    </row>
    <row r="126" spans="1:5" ht="12.75">
      <c r="A126" s="8" t="s">
        <v>38</v>
      </c>
      <c r="C126" t="str">
        <f t="shared" si="31"/>
        <v>Reg-8</v>
      </c>
      <c r="D126" t="str">
        <f t="shared" si="32"/>
        <v>A15 platoon</v>
      </c>
      <c r="E126" t="str">
        <f t="shared" si="33"/>
        <v>1 A15</v>
      </c>
    </row>
    <row r="127" spans="1:5" ht="12.75">
      <c r="A127" s="8" t="s">
        <v>39</v>
      </c>
      <c r="C127">
        <f t="shared" si="31"/>
        <v>0</v>
      </c>
      <c r="D127">
        <f t="shared" si="32"/>
        <v>0</v>
      </c>
      <c r="E127">
        <f t="shared" si="33"/>
        <v>0</v>
      </c>
    </row>
    <row r="128" spans="1:5" ht="12.75">
      <c r="A128" s="8" t="s">
        <v>46</v>
      </c>
      <c r="C128">
        <f t="shared" si="31"/>
        <v>0</v>
      </c>
      <c r="D128">
        <f t="shared" si="32"/>
        <v>0</v>
      </c>
      <c r="E128">
        <f t="shared" si="33"/>
        <v>0</v>
      </c>
    </row>
    <row r="129" spans="1:5" ht="12.75">
      <c r="A129" s="8" t="s">
        <v>47</v>
      </c>
      <c r="C129">
        <f t="shared" si="31"/>
        <v>0</v>
      </c>
      <c r="D129">
        <f t="shared" si="32"/>
        <v>0</v>
      </c>
      <c r="E129">
        <f t="shared" si="33"/>
        <v>0</v>
      </c>
    </row>
    <row r="130" spans="1:5" ht="12.75">
      <c r="A130" s="8" t="s">
        <v>48</v>
      </c>
      <c r="C130">
        <f t="shared" si="31"/>
        <v>0</v>
      </c>
      <c r="D130">
        <f t="shared" si="32"/>
        <v>0</v>
      </c>
      <c r="E130">
        <f t="shared" si="33"/>
        <v>0</v>
      </c>
    </row>
    <row r="131" spans="1:5" ht="12.75">
      <c r="A131" s="8" t="s">
        <v>49</v>
      </c>
      <c r="C131">
        <f t="shared" si="31"/>
        <v>0</v>
      </c>
      <c r="D131">
        <f t="shared" si="32"/>
        <v>0</v>
      </c>
      <c r="E131">
        <f t="shared" si="33"/>
        <v>0</v>
      </c>
    </row>
    <row r="132" spans="1:5" ht="12.75">
      <c r="A132" s="8" t="s">
        <v>50</v>
      </c>
      <c r="C132">
        <f t="shared" si="31"/>
        <v>0</v>
      </c>
      <c r="D132">
        <f t="shared" si="32"/>
        <v>0</v>
      </c>
      <c r="E132">
        <f t="shared" si="33"/>
        <v>0</v>
      </c>
    </row>
    <row r="133" spans="1:5" ht="12.75">
      <c r="A133" s="8" t="s">
        <v>51</v>
      </c>
      <c r="C133">
        <f t="shared" si="31"/>
        <v>0</v>
      </c>
      <c r="D133">
        <f t="shared" si="32"/>
        <v>0</v>
      </c>
      <c r="E133">
        <f t="shared" si="33"/>
        <v>0</v>
      </c>
    </row>
    <row r="134" spans="1:5" ht="12.75">
      <c r="A134" s="8" t="s">
        <v>52</v>
      </c>
      <c r="C134">
        <f t="shared" si="31"/>
        <v>0</v>
      </c>
      <c r="D134">
        <f t="shared" si="32"/>
        <v>0</v>
      </c>
      <c r="E134">
        <f t="shared" si="33"/>
        <v>0</v>
      </c>
    </row>
    <row r="135" spans="1:5" ht="12.75">
      <c r="A135" s="8" t="s">
        <v>53</v>
      </c>
      <c r="C135">
        <f t="shared" si="31"/>
        <v>0</v>
      </c>
      <c r="D135">
        <f t="shared" si="32"/>
        <v>0</v>
      </c>
      <c r="E135">
        <f t="shared" si="33"/>
        <v>0</v>
      </c>
    </row>
    <row r="136" spans="1:5" ht="12.75">
      <c r="A136" s="8" t="s">
        <v>54</v>
      </c>
      <c r="C136">
        <f t="shared" si="31"/>
        <v>0</v>
      </c>
      <c r="D136">
        <f t="shared" si="32"/>
        <v>0</v>
      </c>
      <c r="E136">
        <f t="shared" si="33"/>
        <v>0</v>
      </c>
    </row>
    <row r="137" spans="1:5" ht="12.75">
      <c r="A137" s="8" t="s">
        <v>55</v>
      </c>
      <c r="C137">
        <f t="shared" si="31"/>
        <v>0</v>
      </c>
      <c r="D137">
        <f t="shared" si="32"/>
        <v>0</v>
      </c>
      <c r="E137">
        <f t="shared" si="33"/>
        <v>0</v>
      </c>
    </row>
    <row r="138" ht="18">
      <c r="D138" s="26" t="s">
        <v>45</v>
      </c>
    </row>
    <row r="139" spans="1:5" ht="12.75">
      <c r="A139" s="8" t="s">
        <v>64</v>
      </c>
      <c r="C139" t="str">
        <f aca="true" t="shared" si="34" ref="C139:C153">VLOOKUP($A139,$A$2:$E$105,3,FALSE)</f>
        <v>Reg-8</v>
      </c>
      <c r="D139" t="str">
        <f aca="true" t="shared" si="35" ref="D139:D153">VLOOKUP($A139,$A$2:$E$105,4,FALSE)</f>
        <v>A15 cruiser sq</v>
      </c>
      <c r="E139" t="str">
        <f aca="true" t="shared" si="36" ref="E139:E153">VLOOKUP($A139,$A$2:$E$105,5,FALSE)</f>
        <v>1 Cmd/A15 or Honey, 1 A15 or Honey</v>
      </c>
    </row>
    <row r="140" spans="1:5" ht="12.75">
      <c r="A140" s="8" t="s">
        <v>65</v>
      </c>
      <c r="C140" t="str">
        <f t="shared" si="34"/>
        <v>Reg-8</v>
      </c>
      <c r="D140" t="str">
        <f t="shared" si="35"/>
        <v>A15 cruiser sq</v>
      </c>
      <c r="E140" t="str">
        <f t="shared" si="36"/>
        <v>1 Cmd/A15 or Honey, 1 A15 or Honey</v>
      </c>
    </row>
    <row r="141" spans="1:5" ht="12.75">
      <c r="A141" s="8" t="s">
        <v>66</v>
      </c>
      <c r="C141" t="str">
        <f t="shared" si="34"/>
        <v>Reg-8</v>
      </c>
      <c r="D141" t="str">
        <f t="shared" si="35"/>
        <v>A15 platoon</v>
      </c>
      <c r="E141" t="str">
        <f t="shared" si="36"/>
        <v>1 A15</v>
      </c>
    </row>
    <row r="142" spans="1:5" ht="12.75">
      <c r="A142" s="8" t="s">
        <v>67</v>
      </c>
      <c r="C142" t="str">
        <f t="shared" si="34"/>
        <v>Reg-8</v>
      </c>
      <c r="D142" t="str">
        <f t="shared" si="35"/>
        <v>A15 platoon</v>
      </c>
      <c r="E142" t="str">
        <f t="shared" si="36"/>
        <v>1 A15</v>
      </c>
    </row>
    <row r="143" spans="1:5" ht="12.75">
      <c r="A143" s="8" t="s">
        <v>68</v>
      </c>
      <c r="C143" t="str">
        <f t="shared" si="34"/>
        <v>Exp-8</v>
      </c>
      <c r="D143" t="str">
        <f t="shared" si="35"/>
        <v>Upgunned Armoured car squadron</v>
      </c>
      <c r="E143" t="str">
        <f t="shared" si="36"/>
        <v>2 Marmon-Herrington II/III, one upgunned to any listed</v>
      </c>
    </row>
    <row r="144" spans="1:5" ht="12.75">
      <c r="A144" s="8" t="s">
        <v>69</v>
      </c>
      <c r="C144">
        <f t="shared" si="34"/>
        <v>0</v>
      </c>
      <c r="D144">
        <f t="shared" si="35"/>
        <v>0</v>
      </c>
      <c r="E144">
        <f t="shared" si="36"/>
        <v>0</v>
      </c>
    </row>
    <row r="145" spans="1:5" ht="12.75">
      <c r="A145" s="8" t="s">
        <v>70</v>
      </c>
      <c r="C145">
        <f t="shared" si="34"/>
        <v>0</v>
      </c>
      <c r="D145">
        <f t="shared" si="35"/>
        <v>0</v>
      </c>
      <c r="E145">
        <f t="shared" si="36"/>
        <v>0</v>
      </c>
    </row>
    <row r="146" spans="1:5" ht="12.75">
      <c r="A146" s="8" t="s">
        <v>71</v>
      </c>
      <c r="C146">
        <f t="shared" si="34"/>
        <v>0</v>
      </c>
      <c r="D146">
        <f t="shared" si="35"/>
        <v>0</v>
      </c>
      <c r="E146">
        <f t="shared" si="36"/>
        <v>0</v>
      </c>
    </row>
    <row r="147" spans="1:5" ht="12.75">
      <c r="A147" s="8" t="s">
        <v>72</v>
      </c>
      <c r="C147">
        <f t="shared" si="34"/>
        <v>0</v>
      </c>
      <c r="D147">
        <f t="shared" si="35"/>
        <v>0</v>
      </c>
      <c r="E147">
        <f t="shared" si="36"/>
        <v>0</v>
      </c>
    </row>
    <row r="148" spans="1:5" ht="12.75">
      <c r="A148" s="8" t="s">
        <v>73</v>
      </c>
      <c r="C148">
        <f t="shared" si="34"/>
        <v>0</v>
      </c>
      <c r="D148">
        <f t="shared" si="35"/>
        <v>0</v>
      </c>
      <c r="E148">
        <f t="shared" si="36"/>
        <v>0</v>
      </c>
    </row>
    <row r="149" spans="1:5" ht="12.75">
      <c r="A149" s="8" t="s">
        <v>74</v>
      </c>
      <c r="C149">
        <f t="shared" si="34"/>
        <v>0</v>
      </c>
      <c r="D149">
        <f t="shared" si="35"/>
        <v>0</v>
      </c>
      <c r="E149">
        <f t="shared" si="36"/>
        <v>0</v>
      </c>
    </row>
    <row r="150" spans="1:5" ht="12.75">
      <c r="A150" s="8" t="s">
        <v>75</v>
      </c>
      <c r="C150">
        <f t="shared" si="34"/>
        <v>0</v>
      </c>
      <c r="D150">
        <f t="shared" si="35"/>
        <v>0</v>
      </c>
      <c r="E150">
        <f t="shared" si="36"/>
        <v>0</v>
      </c>
    </row>
    <row r="151" spans="1:5" ht="12.75">
      <c r="A151" s="8" t="s">
        <v>76</v>
      </c>
      <c r="C151">
        <f t="shared" si="34"/>
        <v>0</v>
      </c>
      <c r="D151">
        <f t="shared" si="35"/>
        <v>0</v>
      </c>
      <c r="E151">
        <f t="shared" si="36"/>
        <v>0</v>
      </c>
    </row>
    <row r="152" spans="1:5" ht="12.75">
      <c r="A152" s="8" t="s">
        <v>77</v>
      </c>
      <c r="C152">
        <f t="shared" si="34"/>
        <v>0</v>
      </c>
      <c r="D152">
        <f t="shared" si="35"/>
        <v>0</v>
      </c>
      <c r="E152">
        <f t="shared" si="36"/>
        <v>0</v>
      </c>
    </row>
    <row r="153" spans="1:5" ht="12.75">
      <c r="A153" s="8" t="s">
        <v>78</v>
      </c>
      <c r="C153">
        <f t="shared" si="34"/>
        <v>0</v>
      </c>
      <c r="D153">
        <f t="shared" si="35"/>
        <v>0</v>
      </c>
      <c r="E153">
        <f t="shared" si="36"/>
        <v>0</v>
      </c>
    </row>
  </sheetData>
  <dataValidations count="27">
    <dataValidation type="list" allowBlank="1" showInputMessage="1" showErrorMessage="1" sqref="D32:D35">
      <formula1>crsq</formula1>
    </dataValidation>
    <dataValidation type="list" allowBlank="1" showInputMessage="1" showErrorMessage="1" sqref="D43:D45">
      <formula1>actr</formula1>
    </dataValidation>
    <dataValidation type="list" allowBlank="1" showInputMessage="1" showErrorMessage="1" sqref="D41:D42">
      <formula1>acsq</formula1>
    </dataValidation>
    <dataValidation type="list" allowBlank="1" showInputMessage="1" showErrorMessage="1" sqref="D56">
      <formula1>art5</formula1>
    </dataValidation>
    <dataValidation type="list" allowBlank="1" showInputMessage="1" showErrorMessage="1" sqref="D55">
      <formula1>rha4</formula1>
    </dataValidation>
    <dataValidation type="list" allowBlank="1" showInputMessage="1" showErrorMessage="1" sqref="D54">
      <formula1>rha3</formula1>
    </dataValidation>
    <dataValidation type="list" allowBlank="1" showInputMessage="1" showErrorMessage="1" sqref="E5 C16:C17 C19:C29 C31:C45">
      <formula1>qu1</formula1>
    </dataValidation>
    <dataValidation type="list" allowBlank="1" showInputMessage="1" showErrorMessage="1" prompt="&#10;" sqref="J19:J29 J48:J56 J15:J16 J31:J45">
      <formula1>force</formula1>
    </dataValidation>
    <dataValidation type="list" allowBlank="1" showInputMessage="1" showErrorMessage="1" sqref="D29 D36:D39">
      <formula1>armpl</formula1>
    </dataValidation>
    <dataValidation type="list" allowBlank="1" showInputMessage="1" showErrorMessage="1" sqref="D27">
      <formula1>engpl</formula1>
    </dataValidation>
    <dataValidation type="list" allowBlank="1" showInputMessage="1" showErrorMessage="1" sqref="D26">
      <formula1>engco</formula1>
    </dataValidation>
    <dataValidation type="list" allowBlank="1" showInputMessage="1" showErrorMessage="1" sqref="D28">
      <formula1>aaco</formula1>
    </dataValidation>
    <dataValidation type="list" allowBlank="1" showInputMessage="1" showErrorMessage="1" sqref="D24:D25">
      <formula1>att</formula1>
    </dataValidation>
    <dataValidation type="list" allowBlank="1" showInputMessage="1" showErrorMessage="1" sqref="D22:D23">
      <formula1>atb</formula1>
    </dataValidation>
    <dataValidation type="list" allowBlank="1" showInputMessage="1" showErrorMessage="1" sqref="D19:D21">
      <formula1>moco</formula1>
    </dataValidation>
    <dataValidation type="list" allowBlank="1" showInputMessage="1" showErrorMessage="1" prompt="Select Force for entire Core Battle Group&#10;" sqref="J5">
      <formula1>hhh</formula1>
    </dataValidation>
    <dataValidation type="list" allowBlank="1" showInputMessage="1" showErrorMessage="1" sqref="D17">
      <formula1>armb2</formula1>
    </dataValidation>
    <dataValidation type="list" allowBlank="1" showInputMessage="1" showErrorMessage="1" sqref="D15">
      <formula1>mbrig</formula1>
    </dataValidation>
    <dataValidation type="list" allowBlank="1" showInputMessage="1" showErrorMessage="1" sqref="D7">
      <formula1>att2</formula1>
    </dataValidation>
    <dataValidation type="list" allowBlank="1" showInputMessage="1" showErrorMessage="1" sqref="D8:D10">
      <formula1>moco2</formula1>
    </dataValidation>
    <dataValidation type="list" allowBlank="1" showInputMessage="1" showErrorMessage="1" sqref="D11">
      <formula1>acsq2</formula1>
    </dataValidation>
    <dataValidation type="list" allowBlank="1" showInputMessage="1" showErrorMessage="1" sqref="D12">
      <formula1>art8</formula1>
    </dataValidation>
    <dataValidation type="list" allowBlank="1" showInputMessage="1" showErrorMessage="1" sqref="D16">
      <formula1>mbhq</formula1>
    </dataValidation>
    <dataValidation type="list" allowBlank="1" showInputMessage="1" showErrorMessage="1" sqref="D31">
      <formula1>armbatthq</formula1>
    </dataValidation>
    <dataValidation type="list" allowBlank="1" showInputMessage="1" showErrorMessage="1" sqref="D40">
      <formula1>acrhq</formula1>
    </dataValidation>
    <dataValidation type="list" allowBlank="1" showInputMessage="1" showErrorMessage="1" prompt="Max 1 per HQ unit" sqref="D48:D50">
      <formula1>rha1</formula1>
    </dataValidation>
    <dataValidation type="list" allowBlank="1" showInputMessage="1" showErrorMessage="1" prompt="max 1 dedicated battery per HQ unit" sqref="D51:D53">
      <formula1>rha2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2"/>
  <sheetViews>
    <sheetView workbookViewId="0" topLeftCell="B1">
      <selection activeCell="I5" sqref="I5"/>
    </sheetView>
  </sheetViews>
  <sheetFormatPr defaultColWidth="9.140625" defaultRowHeight="12.75"/>
  <cols>
    <col min="1" max="1" width="9.8515625" style="8" hidden="1" customWidth="1"/>
    <col min="2" max="2" width="4.421875" style="0" customWidth="1"/>
    <col min="3" max="3" width="6.7109375" style="0" customWidth="1"/>
    <col min="4" max="4" width="38.28125" style="0" customWidth="1"/>
    <col min="5" max="5" width="62.00390625" style="0" customWidth="1"/>
    <col min="6" max="6" width="21.00390625" style="0" hidden="1" customWidth="1"/>
    <col min="7" max="8" width="10.140625" style="0" hidden="1" customWidth="1"/>
    <col min="9" max="9" width="6.140625" style="0" bestFit="1" customWidth="1"/>
    <col min="10" max="10" width="10.7109375" style="0" customWidth="1"/>
    <col min="11" max="11" width="8.28125" style="0" customWidth="1"/>
    <col min="12" max="21" width="11.140625" style="0" hidden="1" customWidth="1"/>
    <col min="22" max="22" width="6.140625" style="0" bestFit="1" customWidth="1"/>
  </cols>
  <sheetData>
    <row r="1" spans="4:23" ht="18">
      <c r="D1" s="1" t="s">
        <v>344</v>
      </c>
      <c r="E1" s="9" t="s">
        <v>56</v>
      </c>
      <c r="G1" s="10"/>
      <c r="H1" s="11">
        <f>IF(F1&gt;G1,"Error!",0)</f>
        <v>0</v>
      </c>
      <c r="I1" t="e">
        <f>SUM($S$2:$S$58)</f>
        <v>#REF!</v>
      </c>
      <c r="J1" s="10">
        <v>525</v>
      </c>
      <c r="K1" s="11" t="e">
        <f>IF(I1&gt;J1,"Error!",0)</f>
        <v>#REF!</v>
      </c>
      <c r="M1" t="s">
        <v>57</v>
      </c>
      <c r="N1" t="s">
        <v>58</v>
      </c>
      <c r="O1" t="s">
        <v>59</v>
      </c>
      <c r="P1" t="s">
        <v>57</v>
      </c>
      <c r="Q1" t="s">
        <v>58</v>
      </c>
      <c r="R1" t="s">
        <v>59</v>
      </c>
      <c r="S1" t="s">
        <v>57</v>
      </c>
      <c r="T1" t="s">
        <v>58</v>
      </c>
      <c r="U1" t="s">
        <v>59</v>
      </c>
      <c r="V1" s="12" t="s">
        <v>60</v>
      </c>
      <c r="W1" s="5" t="e">
        <f>SUM($I14:$I55)+$I5</f>
        <v>#REF!</v>
      </c>
    </row>
    <row r="2" spans="5:11" ht="15.75">
      <c r="E2" s="9" t="s">
        <v>41</v>
      </c>
      <c r="G2" s="10"/>
      <c r="H2" s="11">
        <f>IF((F1+F2)&gt;(G1+G2),"Error!",0)</f>
        <v>0</v>
      </c>
      <c r="I2">
        <f>SUM($T$2:$T$58)</f>
        <v>0</v>
      </c>
      <c r="J2" s="10">
        <v>450</v>
      </c>
      <c r="K2" s="11" t="e">
        <f>IF(I1+I2&gt;J1+J2,"Error!",0)</f>
        <v>#REF!</v>
      </c>
    </row>
    <row r="3" spans="5:10" ht="12.75">
      <c r="E3" s="9" t="s">
        <v>42</v>
      </c>
      <c r="G3" s="10"/>
      <c r="I3">
        <f>SUM($U$2:$U$58)</f>
        <v>0</v>
      </c>
      <c r="J3" s="10">
        <v>450</v>
      </c>
    </row>
    <row r="4" ht="12.75">
      <c r="C4" s="13" t="s">
        <v>4</v>
      </c>
    </row>
    <row r="5" spans="1:22" ht="12.75">
      <c r="A5" s="8" t="str">
        <f aca="true" t="shared" si="0" ref="A5:A11">IF(M5=1,"Ord"&amp;P5,IF(N5=1,"Ord"&amp;Q5,IF(O5=1,"Ord"&amp;R5,IF(I5&gt;0,"E",0))))</f>
        <v>Ord</v>
      </c>
      <c r="C5" s="14" t="str">
        <f>E5</f>
        <v>Exp-9</v>
      </c>
      <c r="E5" s="15" t="s">
        <v>346</v>
      </c>
      <c r="F5" s="16" t="str">
        <f>E5</f>
        <v>Exp-9</v>
      </c>
      <c r="I5" t="e">
        <f>VLOOKUP($F$5,UKdata!$H2:$I4,9,FALSE)+SUM(I8:I10)</f>
        <v>#REF!</v>
      </c>
      <c r="J5" s="3" t="s">
        <v>40</v>
      </c>
      <c r="M5">
        <f>IF(J5="Holding",1,0)</f>
        <v>1</v>
      </c>
      <c r="N5">
        <f>IF(J5="Reserve",1,0)</f>
        <v>0</v>
      </c>
      <c r="O5">
        <f>IF(J5="Assault",1,0)</f>
        <v>0</v>
      </c>
      <c r="S5" t="e">
        <f>IF(M5&gt;0,$I5,0)</f>
        <v>#REF!</v>
      </c>
      <c r="T5">
        <f>IF(N5&gt;0,$I5,0)</f>
        <v>0</v>
      </c>
      <c r="U5">
        <f>IF(O5&gt;0,$I5,0)</f>
        <v>0</v>
      </c>
      <c r="V5" s="17"/>
    </row>
    <row r="6" spans="1:22" ht="12.75">
      <c r="A6" s="8" t="str">
        <f t="shared" si="0"/>
        <v>Ord2</v>
      </c>
      <c r="C6" s="17" t="str">
        <f>E5</f>
        <v>Exp-9</v>
      </c>
      <c r="D6" s="18" t="s">
        <v>5</v>
      </c>
      <c r="E6" s="2" t="s">
        <v>107</v>
      </c>
      <c r="G6">
        <f>IF($F$5="Exp-8",55,0)</f>
        <v>0</v>
      </c>
      <c r="H6">
        <f>IF($F$5="Vet-9",70,0)</f>
        <v>0</v>
      </c>
      <c r="I6">
        <f>SUM(F6:H6)</f>
        <v>0</v>
      </c>
      <c r="J6" s="27">
        <v>0</v>
      </c>
      <c r="M6">
        <f aca="true" t="shared" si="1" ref="M6:M11">IF($J$5=0,IF(J6="Holding",1,0),IF($J$5="Holding",1,0))</f>
        <v>1</v>
      </c>
      <c r="N6">
        <f aca="true" t="shared" si="2" ref="N6:N11">IF($J$5=0,IF(J6="Reserve",1,0),IF($J$5="Reserve",1,0))</f>
        <v>0</v>
      </c>
      <c r="O6">
        <f aca="true" t="shared" si="3" ref="O6:O11">IF($J$5=0,IF(K6="Assault",1,0),IF($J$5="Assault",1,0))</f>
        <v>0</v>
      </c>
      <c r="P6">
        <f>IF($M6&lt;&gt;0,SUM($M$5:$M6),0)</f>
        <v>2</v>
      </c>
      <c r="Q6">
        <f>IF($N6&lt;&gt;0,SUM($N$5:$N6)+15,0)</f>
        <v>0</v>
      </c>
      <c r="R6">
        <f>IF($O6&lt;&gt;0,SUM($O$6:$O6)+30,0)</f>
        <v>0</v>
      </c>
      <c r="S6" t="e">
        <f aca="true" t="shared" si="4" ref="S6:S11">IF($S$5=0,IF(M6&gt;0,$I6,0),0)</f>
        <v>#REF!</v>
      </c>
      <c r="T6">
        <f aca="true" t="shared" si="5" ref="T6:T11">IF($T$5=0,IF(N6&gt;0,$I6,0),0)</f>
        <v>0</v>
      </c>
      <c r="U6">
        <f>IF($U$5=0,IF(O6&gt;0,$I6,0),0)</f>
        <v>0</v>
      </c>
      <c r="V6" s="17"/>
    </row>
    <row r="7" spans="1:22" ht="12.75">
      <c r="A7" s="8" t="str">
        <f t="shared" si="0"/>
        <v>Ord3</v>
      </c>
      <c r="D7" s="23" t="s">
        <v>93</v>
      </c>
      <c r="E7" t="s">
        <v>108</v>
      </c>
      <c r="J7" s="27">
        <v>0</v>
      </c>
      <c r="M7">
        <f t="shared" si="1"/>
        <v>1</v>
      </c>
      <c r="N7">
        <f t="shared" si="2"/>
        <v>0</v>
      </c>
      <c r="O7">
        <f t="shared" si="3"/>
        <v>0</v>
      </c>
      <c r="P7">
        <f>IF($M7&lt;&gt;0,SUM($M$5:$M7),0)</f>
        <v>3</v>
      </c>
      <c r="Q7">
        <f>IF($N7&lt;&gt;0,SUM($N$5:$N7)+15,0)</f>
        <v>0</v>
      </c>
      <c r="R7">
        <f>IF($O7&lt;&gt;0,SUM($O$6:$O7)+30,0)</f>
        <v>0</v>
      </c>
      <c r="S7" t="e">
        <f t="shared" si="4"/>
        <v>#REF!</v>
      </c>
      <c r="T7">
        <f t="shared" si="5"/>
        <v>0</v>
      </c>
      <c r="U7">
        <f aca="true" t="shared" si="6" ref="U7:U12">IF($U$5=0,IF(O7&gt;0,$I7,0),0)</f>
        <v>0</v>
      </c>
      <c r="V7" s="17">
        <v>1</v>
      </c>
    </row>
    <row r="8" spans="1:22" ht="12.75">
      <c r="A8" s="8" t="str">
        <f t="shared" si="0"/>
        <v>Ord4</v>
      </c>
      <c r="D8" s="19" t="s">
        <v>90</v>
      </c>
      <c r="E8" t="str">
        <f>VLOOKUP($D8,UKdata!$A$2:$E$49,2,FALSE)</f>
        <v>Cmd/Inf/Piat stand, 2 Rifle stands</v>
      </c>
      <c r="F8">
        <f>IF($D8="Reinforced Infantry/AT co",5,0)</f>
        <v>0</v>
      </c>
      <c r="I8">
        <f>SUM(F8:H8)</f>
        <v>0</v>
      </c>
      <c r="J8" s="27">
        <v>0</v>
      </c>
      <c r="M8">
        <f t="shared" si="1"/>
        <v>1</v>
      </c>
      <c r="N8">
        <f t="shared" si="2"/>
        <v>0</v>
      </c>
      <c r="O8">
        <f t="shared" si="3"/>
        <v>0</v>
      </c>
      <c r="P8">
        <f>IF($M8&lt;&gt;0,SUM($M$5:$M8),0)</f>
        <v>4</v>
      </c>
      <c r="Q8">
        <f>IF($N8&lt;&gt;0,SUM($N$5:$N8)+15,0)</f>
        <v>0</v>
      </c>
      <c r="R8">
        <f>IF($O8&lt;&gt;0,SUM($O$6:$O8)+30,0)</f>
        <v>0</v>
      </c>
      <c r="S8" t="e">
        <f t="shared" si="4"/>
        <v>#REF!</v>
      </c>
      <c r="T8">
        <f t="shared" si="5"/>
        <v>0</v>
      </c>
      <c r="U8">
        <f t="shared" si="6"/>
        <v>0</v>
      </c>
      <c r="V8" s="17"/>
    </row>
    <row r="9" spans="1:22" ht="12.75">
      <c r="A9" s="8" t="str">
        <f t="shared" si="0"/>
        <v>Ord5</v>
      </c>
      <c r="D9" s="19" t="s">
        <v>90</v>
      </c>
      <c r="E9" t="str">
        <f>VLOOKUP($D9,UKdata!$A$2:$E$49,2,FALSE)</f>
        <v>Cmd/Inf/Piat stand, 2 Rifle stands</v>
      </c>
      <c r="F9">
        <f>IF($D9="Reinforced Infantry/AT co",5,0)</f>
        <v>0</v>
      </c>
      <c r="G9">
        <f>IF($F$5="Exp-8",VLOOKUP($D9,UKdata!$A$2:$E$49,4,FALSE),0)</f>
        <v>0</v>
      </c>
      <c r="H9">
        <f>IF($F$5="Vet-9",VLOOKUP($D9,UKdata!$A$2:$E$49,5,FALSE),0)</f>
        <v>0</v>
      </c>
      <c r="I9">
        <f>SUM(F9:H9)</f>
        <v>0</v>
      </c>
      <c r="J9" s="27">
        <v>0</v>
      </c>
      <c r="M9">
        <f t="shared" si="1"/>
        <v>1</v>
      </c>
      <c r="N9">
        <f t="shared" si="2"/>
        <v>0</v>
      </c>
      <c r="O9">
        <f t="shared" si="3"/>
        <v>0</v>
      </c>
      <c r="P9">
        <f>IF($M9&lt;&gt;0,SUM($M$5:$M9),0)</f>
        <v>5</v>
      </c>
      <c r="Q9">
        <f>IF($N9&lt;&gt;0,SUM($N$5:$N9)+15,0)</f>
        <v>0</v>
      </c>
      <c r="R9">
        <f>IF($O9&lt;&gt;0,SUM($O$6:$O9)+30,0)</f>
        <v>0</v>
      </c>
      <c r="S9" t="e">
        <f t="shared" si="4"/>
        <v>#REF!</v>
      </c>
      <c r="T9">
        <f t="shared" si="5"/>
        <v>0</v>
      </c>
      <c r="U9">
        <f t="shared" si="6"/>
        <v>0</v>
      </c>
      <c r="V9" s="17"/>
    </row>
    <row r="10" spans="1:22" ht="12.75">
      <c r="A10" s="8" t="str">
        <f t="shared" si="0"/>
        <v>Ord6</v>
      </c>
      <c r="D10" s="19" t="s">
        <v>90</v>
      </c>
      <c r="E10" t="str">
        <f>VLOOKUP($D10,UKdata!$A$2:$E$49,2,FALSE)</f>
        <v>Cmd/Inf/Piat stand, 2 Rifle stands</v>
      </c>
      <c r="F10">
        <f>IF($D10="Reinforced Infantry/AT co",5,0)</f>
        <v>0</v>
      </c>
      <c r="G10">
        <f>IF($F$5="Exp-8",VLOOKUP($D10,UKdata!$A$2:$E$49,4,FALSE),0)</f>
        <v>0</v>
      </c>
      <c r="H10">
        <f>IF($F$5="Vet-9",VLOOKUP($D10,UKdata!$A$2:$E$49,5,FALSE),0)</f>
        <v>0</v>
      </c>
      <c r="I10">
        <f>SUM(F10:H10)</f>
        <v>0</v>
      </c>
      <c r="J10" s="27">
        <v>0</v>
      </c>
      <c r="M10">
        <f t="shared" si="1"/>
        <v>1</v>
      </c>
      <c r="N10">
        <f t="shared" si="2"/>
        <v>0</v>
      </c>
      <c r="O10">
        <f t="shared" si="3"/>
        <v>0</v>
      </c>
      <c r="P10">
        <f>IF($M10&lt;&gt;0,SUM($M$5:$M10),0)</f>
        <v>6</v>
      </c>
      <c r="Q10">
        <f>IF($N10&lt;&gt;0,SUM($N$5:$N10)+15,0)</f>
        <v>0</v>
      </c>
      <c r="R10">
        <f>IF($O10&lt;&gt;0,SUM($O$6:$O10)+30,0)</f>
        <v>0</v>
      </c>
      <c r="S10" t="e">
        <f t="shared" si="4"/>
        <v>#REF!</v>
      </c>
      <c r="T10">
        <f t="shared" si="5"/>
        <v>0</v>
      </c>
      <c r="U10">
        <f t="shared" si="6"/>
        <v>0</v>
      </c>
      <c r="V10" s="17"/>
    </row>
    <row r="11" spans="1:22" ht="12.75">
      <c r="A11" s="8" t="str">
        <f t="shared" si="0"/>
        <v>Ord7</v>
      </c>
      <c r="D11" s="23" t="s">
        <v>109</v>
      </c>
      <c r="E11" t="s">
        <v>110</v>
      </c>
      <c r="G11">
        <f>IF($F$5="Exp-8",VLOOKUP($D11,UKdata!$A$2:$E$49,4,FALSE),0)</f>
        <v>0</v>
      </c>
      <c r="H11">
        <f>IF($F$5="Vet-9",VLOOKUP($D11,UKdata!$A$2:$E$49,5,FALSE),0)</f>
        <v>0</v>
      </c>
      <c r="J11" s="27">
        <v>0</v>
      </c>
      <c r="M11">
        <f t="shared" si="1"/>
        <v>1</v>
      </c>
      <c r="N11">
        <f t="shared" si="2"/>
        <v>0</v>
      </c>
      <c r="O11">
        <f t="shared" si="3"/>
        <v>0</v>
      </c>
      <c r="P11">
        <f>IF($M11&lt;&gt;0,SUM($M$5:$M11),0)</f>
        <v>7</v>
      </c>
      <c r="Q11">
        <f>IF($N11&lt;&gt;0,SUM($N$5:$N11)+15,0)</f>
        <v>0</v>
      </c>
      <c r="R11">
        <f>IF($O11&lt;&gt;0,SUM($O$6:$O11)+30,0)</f>
        <v>0</v>
      </c>
      <c r="S11" t="e">
        <f t="shared" si="4"/>
        <v>#REF!</v>
      </c>
      <c r="T11">
        <f t="shared" si="5"/>
        <v>0</v>
      </c>
      <c r="U11">
        <f t="shared" si="6"/>
        <v>0</v>
      </c>
      <c r="V11" s="17"/>
    </row>
    <row r="12" spans="10:22" ht="12.75">
      <c r="J12">
        <v>0</v>
      </c>
      <c r="P12">
        <f>IF($M12&lt;&gt;0,SUM($M$5:$M12),0)</f>
        <v>0</v>
      </c>
      <c r="Q12">
        <f>IF($N12&lt;&gt;0,SUM($N$5:$N12)+15,0)</f>
        <v>0</v>
      </c>
      <c r="R12">
        <f>IF($O12&lt;&gt;0,SUM($O$5:$O12)+30,0)</f>
        <v>0</v>
      </c>
      <c r="S12">
        <f aca="true" t="shared" si="7" ref="S12:U27">IF(M12&gt;0,$I12,0)</f>
        <v>0</v>
      </c>
      <c r="T12">
        <f t="shared" si="7"/>
        <v>0</v>
      </c>
      <c r="U12">
        <f t="shared" si="6"/>
        <v>0</v>
      </c>
      <c r="V12" s="17"/>
    </row>
    <row r="13" spans="4:22" ht="12.75">
      <c r="D13" s="20" t="s">
        <v>61</v>
      </c>
      <c r="J13">
        <v>0</v>
      </c>
      <c r="P13">
        <f>IF($M13&lt;&gt;0,SUM($M$5:$M13),0)</f>
        <v>0</v>
      </c>
      <c r="Q13">
        <f>IF($N13&lt;&gt;0,SUM($N$5:$N13)+15,0)</f>
        <v>0</v>
      </c>
      <c r="R13">
        <f>IF($O13&lt;&gt;0,SUM($O$5:$O13)+30,0)</f>
        <v>0</v>
      </c>
      <c r="S13">
        <f t="shared" si="7"/>
        <v>0</v>
      </c>
      <c r="T13">
        <f t="shared" si="7"/>
        <v>0</v>
      </c>
      <c r="U13">
        <f>IF(O13&gt;0,$I13,0)</f>
        <v>0</v>
      </c>
      <c r="V13" s="17"/>
    </row>
    <row r="14" spans="1:22" ht="12.75">
      <c r="A14" s="8">
        <f>IF(M14=1,"Ord"&amp;P14,IF(N14=1,"Ord"&amp;Q14,IF(O14=1,"Ord"&amp;R14,IF(I14&gt;0,"E",0))))</f>
        <v>0</v>
      </c>
      <c r="C14" s="22" t="s">
        <v>3</v>
      </c>
      <c r="D14" s="3" t="s">
        <v>6</v>
      </c>
      <c r="E14">
        <f>VLOOKUP($D14,UKdata!$A$2:$E$49,2,FALSE)</f>
        <v>0</v>
      </c>
      <c r="F14">
        <f>IF($C14="Reg-8",VLOOKUP($D14,UKdata!$A$2:$E$49,3,FALSE),0)</f>
        <v>0</v>
      </c>
      <c r="G14">
        <f>IF($C14="Exp-8",VLOOKUP($D14,UKdata!$A$2:$E$49,4,FALSE),0)</f>
        <v>0</v>
      </c>
      <c r="H14">
        <f>IF($C14="Vet-9",VLOOKUP($D14,UKdata!$A$2:$E$49,5,FALSE),0)</f>
        <v>0</v>
      </c>
      <c r="I14">
        <f>VLOOKUP($D14,UKdata!$A$2:$E$49,3,FALSE)</f>
        <v>0</v>
      </c>
      <c r="J14" s="3">
        <v>0</v>
      </c>
      <c r="M14">
        <f>IF(J14="Holding",1,0)</f>
        <v>0</v>
      </c>
      <c r="N14">
        <f>IF(J14="Reserve",1,0)</f>
        <v>0</v>
      </c>
      <c r="O14">
        <f>IF(J14="Assault",1,0)</f>
        <v>0</v>
      </c>
      <c r="P14">
        <f>IF($M14&lt;&gt;0,SUM($M$5:$M14),0)</f>
        <v>0</v>
      </c>
      <c r="Q14">
        <f>IF($N14&lt;&gt;0,SUM($N$5:$N14)+15,0)</f>
        <v>0</v>
      </c>
      <c r="R14">
        <f>IF($O14&lt;&gt;0,SUM($O$6:$O14)+30,0)</f>
        <v>0</v>
      </c>
      <c r="S14">
        <f t="shared" si="7"/>
        <v>0</v>
      </c>
      <c r="T14">
        <f t="shared" si="7"/>
        <v>0</v>
      </c>
      <c r="U14">
        <f>IF(O14&gt;0,$I14,0)</f>
        <v>0</v>
      </c>
      <c r="V14" s="17">
        <f>VLOOKUP($D14,UKdata!$A$2:$F$49,6,FALSE)</f>
        <v>0</v>
      </c>
    </row>
    <row r="15" spans="1:22" ht="12.75">
      <c r="A15" s="8">
        <f aca="true" t="shared" si="8" ref="A15:A54">IF(M15=1,"Ord"&amp;P15,IF(N15=1,"Ord"&amp;Q15,IF(O15=1,"Ord"&amp;R15,IF(I15&gt;0,"E",0))))</f>
        <v>0</v>
      </c>
      <c r="C15" s="22">
        <v>0</v>
      </c>
      <c r="D15" s="3" t="s">
        <v>6</v>
      </c>
      <c r="E15">
        <f>VLOOKUP($D15,UKdata!$A$2:$E$49,2,FALSE)</f>
        <v>0</v>
      </c>
      <c r="F15">
        <f>IF($C15="Reg-8",VLOOKUP($D15,UKdata!$A$2:$E$49,3,FALSE),0)</f>
        <v>0</v>
      </c>
      <c r="G15">
        <f>IF($C15="Exp-8",VLOOKUP($D15,UKdata!$A$2:$E$49,4,FALSE),0)</f>
        <v>0</v>
      </c>
      <c r="H15">
        <f>IF($C15="Vet-9",VLOOKUP($D15,UKdata!$A$2:$E$49,5,FALSE),0)</f>
        <v>0</v>
      </c>
      <c r="I15">
        <f>VLOOKUP($D15,UKdata!$A$2:$E$49,3,FALSE)</f>
        <v>0</v>
      </c>
      <c r="J15" s="3">
        <v>0</v>
      </c>
      <c r="K15">
        <f>VLOOKUP($D15,UKdata!$A$2:$F$202,6,FALSE)</f>
        <v>0</v>
      </c>
      <c r="M15">
        <f aca="true" t="shared" si="9" ref="M15:M58">IF(J15="Holding",1,0)</f>
        <v>0</v>
      </c>
      <c r="N15">
        <f aca="true" t="shared" si="10" ref="N15:N58">IF(J15="Reserve",1,0)</f>
        <v>0</v>
      </c>
      <c r="O15">
        <f aca="true" t="shared" si="11" ref="O15:O58">IF(J15="Assault",1,0)</f>
        <v>0</v>
      </c>
      <c r="P15">
        <f>IF($M15&lt;&gt;0,SUM($M$5:$M15),0)</f>
        <v>0</v>
      </c>
      <c r="Q15">
        <f>IF($N15&lt;&gt;0,SUM($N$5:$N15)+15,0)</f>
        <v>0</v>
      </c>
      <c r="R15">
        <f>IF($O15&lt;&gt;0,SUM($O$6:$O15)+30,0)</f>
        <v>0</v>
      </c>
      <c r="S15">
        <f t="shared" si="7"/>
        <v>0</v>
      </c>
      <c r="T15">
        <f t="shared" si="7"/>
        <v>0</v>
      </c>
      <c r="U15">
        <f t="shared" si="7"/>
        <v>0</v>
      </c>
      <c r="V15" s="17">
        <f>VLOOKUP($D15,UKdata!$A$2:$F$49,6,FALSE)</f>
        <v>0</v>
      </c>
    </row>
    <row r="16" spans="3:22" ht="12.75">
      <c r="C16">
        <v>0</v>
      </c>
      <c r="D16" t="s">
        <v>309</v>
      </c>
      <c r="J16">
        <v>0</v>
      </c>
      <c r="V16" s="17"/>
    </row>
    <row r="17" spans="1:22" ht="12.75">
      <c r="A17" s="8">
        <f t="shared" si="8"/>
        <v>0</v>
      </c>
      <c r="C17">
        <v>0</v>
      </c>
      <c r="D17" s="20" t="s">
        <v>62</v>
      </c>
      <c r="J17">
        <v>0</v>
      </c>
      <c r="M17">
        <f t="shared" si="9"/>
        <v>0</v>
      </c>
      <c r="N17">
        <f t="shared" si="10"/>
        <v>0</v>
      </c>
      <c r="O17">
        <f t="shared" si="11"/>
        <v>0</v>
      </c>
      <c r="P17">
        <f>IF($M17&lt;&gt;0,SUM($M$5:$M17),0)</f>
        <v>0</v>
      </c>
      <c r="Q17">
        <f>IF($N17&lt;&gt;0,SUM($N$5:$N17)+15,0)</f>
        <v>0</v>
      </c>
      <c r="R17">
        <f>IF($O17&lt;&gt;0,SUM($O$6:$O17)+30,0)</f>
        <v>0</v>
      </c>
      <c r="S17">
        <f t="shared" si="7"/>
        <v>0</v>
      </c>
      <c r="T17">
        <f t="shared" si="7"/>
        <v>0</v>
      </c>
      <c r="U17">
        <f t="shared" si="7"/>
        <v>0</v>
      </c>
      <c r="V17" s="17"/>
    </row>
    <row r="18" spans="1:22" ht="12.75">
      <c r="A18" s="8">
        <f t="shared" si="8"/>
        <v>0</v>
      </c>
      <c r="C18" s="22">
        <v>0</v>
      </c>
      <c r="D18" s="3" t="s">
        <v>84</v>
      </c>
      <c r="E18">
        <f>VLOOKUP($D18,UKdata!$A$2:$E$49,2,FALSE)</f>
        <v>0</v>
      </c>
      <c r="F18">
        <f>IF($C18="Reg-8",VLOOKUP($D18,UKdata!$A$2:$E$49,3,FALSE),0)</f>
        <v>0</v>
      </c>
      <c r="G18">
        <f>IF($C18="Exp-8",VLOOKUP($D18,UKdata!$A$2:$E$49,4,FALSE),0)</f>
        <v>0</v>
      </c>
      <c r="H18">
        <f>IF($C18="Vet-9",VLOOKUP($D18,UKdata!$A$2:$E$49,5,FALSE),0)</f>
        <v>0</v>
      </c>
      <c r="I18">
        <f aca="true" t="shared" si="12" ref="I18:I24">SUM(F18:H18)</f>
        <v>0</v>
      </c>
      <c r="J18" s="3">
        <v>0</v>
      </c>
      <c r="K18" s="4">
        <f>IF($D18&lt;&gt;"No infantry company",IF($C18&lt;&gt;$F$5,IF(C$18&lt;&gt;$C$15,"Error - must match HQ morale",0),0),0)</f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>IF($M18&lt;&gt;0,SUM($M$5:$M18),0)</f>
        <v>0</v>
      </c>
      <c r="Q18">
        <f>IF($N18&lt;&gt;0,SUM($N$5:$N18)+15,0)</f>
        <v>0</v>
      </c>
      <c r="R18">
        <f>IF($O18&lt;&gt;0,SUM($O$6:$O18)+30,0)</f>
        <v>0</v>
      </c>
      <c r="S18">
        <f t="shared" si="7"/>
        <v>0</v>
      </c>
      <c r="T18">
        <f t="shared" si="7"/>
        <v>0</v>
      </c>
      <c r="U18">
        <f t="shared" si="7"/>
        <v>0</v>
      </c>
      <c r="V18" s="17"/>
    </row>
    <row r="19" spans="1:22" ht="12.75">
      <c r="A19" s="8">
        <f t="shared" si="8"/>
        <v>0</v>
      </c>
      <c r="C19" s="22">
        <v>0</v>
      </c>
      <c r="D19" s="3" t="s">
        <v>84</v>
      </c>
      <c r="E19">
        <f>VLOOKUP($D19,UKdata!$A$2:$E$49,2,FALSE)</f>
        <v>0</v>
      </c>
      <c r="F19">
        <f>IF($C19="Reg-8",VLOOKUP($D19,UKdata!$A$2:$E$49,3,FALSE),0)</f>
        <v>0</v>
      </c>
      <c r="G19">
        <f>IF($C19="Exp-8",VLOOKUP($D19,UKdata!$A$2:$E$49,4,FALSE),0)</f>
        <v>0</v>
      </c>
      <c r="H19">
        <f>IF($C19="Vet-9",VLOOKUP($D19,UKdata!$A$2:$E$49,5,FALSE),0)</f>
        <v>0</v>
      </c>
      <c r="I19">
        <f t="shared" si="12"/>
        <v>0</v>
      </c>
      <c r="J19" s="3">
        <v>0</v>
      </c>
      <c r="K19" s="4">
        <f>IF($D19&lt;&gt;"No infantry company",IF($C19&lt;&gt;$F$5,IF(C$19&lt;&gt;$C$15,"Error - must match HQ morale",0),0),0)</f>
        <v>0</v>
      </c>
      <c r="M19">
        <f t="shared" si="9"/>
        <v>0</v>
      </c>
      <c r="N19">
        <f t="shared" si="10"/>
        <v>0</v>
      </c>
      <c r="O19">
        <f t="shared" si="11"/>
        <v>0</v>
      </c>
      <c r="P19">
        <f>IF($M19&lt;&gt;0,SUM($M$5:$M19),0)</f>
        <v>0</v>
      </c>
      <c r="Q19">
        <f>IF($N19&lt;&gt;0,SUM($N$5:$N19)+15,0)</f>
        <v>0</v>
      </c>
      <c r="R19">
        <f>IF($O19&lt;&gt;0,SUM($O$6:$O19)+30,0)</f>
        <v>0</v>
      </c>
      <c r="S19">
        <f t="shared" si="7"/>
        <v>0</v>
      </c>
      <c r="T19">
        <f t="shared" si="7"/>
        <v>0</v>
      </c>
      <c r="U19">
        <f t="shared" si="7"/>
        <v>0</v>
      </c>
      <c r="V19" s="17"/>
    </row>
    <row r="20" spans="1:22" ht="12.75">
      <c r="A20" s="8">
        <f t="shared" si="8"/>
        <v>0</v>
      </c>
      <c r="C20" s="22">
        <v>0</v>
      </c>
      <c r="D20" s="3" t="s">
        <v>84</v>
      </c>
      <c r="E20">
        <f>VLOOKUP($D20,UKdata!$A$2:$E$49,2,FALSE)</f>
        <v>0</v>
      </c>
      <c r="F20">
        <f>IF($C20="Reg-8",VLOOKUP($D20,UKdata!$A$2:$E$49,3,FALSE),0)</f>
        <v>0</v>
      </c>
      <c r="G20">
        <f>IF($C20="Exp-8",VLOOKUP($D20,UKdata!$A$2:$E$49,4,FALSE),0)</f>
        <v>0</v>
      </c>
      <c r="H20">
        <f>IF($C20="Vet-9",VLOOKUP($D20,UKdata!$A$2:$E$49,5,FALSE),0)</f>
        <v>0</v>
      </c>
      <c r="I20">
        <f t="shared" si="12"/>
        <v>0</v>
      </c>
      <c r="J20" s="3">
        <v>0</v>
      </c>
      <c r="K20" s="4">
        <f>IF($D20&lt;&gt;"No infantry company",IF($C20&lt;&gt;$F$5,IF(C$20&lt;&gt;$C$15,"Error - must match HQ morale",0),0),0)</f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>IF($M20&lt;&gt;0,SUM($M$5:$M20),0)</f>
        <v>0</v>
      </c>
      <c r="Q20">
        <f>IF($N20&lt;&gt;0,SUM($N$5:$N20)+15,0)</f>
        <v>0</v>
      </c>
      <c r="R20">
        <f>IF($O20&lt;&gt;0,SUM($O$6:$O20)+30,0)</f>
        <v>0</v>
      </c>
      <c r="S20">
        <f t="shared" si="7"/>
        <v>0</v>
      </c>
      <c r="T20">
        <f t="shared" si="7"/>
        <v>0</v>
      </c>
      <c r="U20">
        <f t="shared" si="7"/>
        <v>0</v>
      </c>
      <c r="V20" s="17"/>
    </row>
    <row r="21" spans="1:22" ht="12.75">
      <c r="A21" s="8">
        <f t="shared" si="8"/>
        <v>0</v>
      </c>
      <c r="C21" s="22">
        <v>0</v>
      </c>
      <c r="D21" s="3" t="s">
        <v>84</v>
      </c>
      <c r="E21">
        <f>VLOOKUP($D21,UKdata!$A$2:$E$49,2,FALSE)</f>
        <v>0</v>
      </c>
      <c r="F21">
        <f>IF($C21="Reg-8",VLOOKUP($D21,UKdata!$A$2:$E$49,3,FALSE),0)</f>
        <v>0</v>
      </c>
      <c r="G21">
        <f>IF($C21="Exp-8",VLOOKUP($D21,UKdata!$A$2:$E$49,4,FALSE),0)</f>
        <v>0</v>
      </c>
      <c r="H21">
        <f>IF($C21="Vet-9",VLOOKUP($D21,UKdata!$A$2:$E$49,5,FALSE),0)</f>
        <v>0</v>
      </c>
      <c r="I21">
        <f t="shared" si="12"/>
        <v>0</v>
      </c>
      <c r="J21" s="3">
        <v>0</v>
      </c>
      <c r="K21" s="4">
        <f>IF($D21&lt;&gt;"No infantry company",IF($C21&lt;&gt;$F$5,IF(C$21&lt;&gt;$C$15,"Error - must match HQ morale",0),0),0)</f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>IF($M21&lt;&gt;0,SUM($M$5:$M21),0)</f>
        <v>0</v>
      </c>
      <c r="Q21">
        <f>IF($N21&lt;&gt;0,SUM($N$5:$N21)+15,0)</f>
        <v>0</v>
      </c>
      <c r="R21">
        <f>IF($O21&lt;&gt;0,SUM($O$6:$O21)+30,0)</f>
        <v>0</v>
      </c>
      <c r="S21">
        <f t="shared" si="7"/>
        <v>0</v>
      </c>
      <c r="T21">
        <f t="shared" si="7"/>
        <v>0</v>
      </c>
      <c r="U21">
        <f t="shared" si="7"/>
        <v>0</v>
      </c>
      <c r="V21" s="17"/>
    </row>
    <row r="22" spans="1:22" ht="12.75">
      <c r="A22" s="8">
        <f t="shared" si="8"/>
        <v>0</v>
      </c>
      <c r="C22" s="22">
        <v>0</v>
      </c>
      <c r="D22" s="3" t="s">
        <v>118</v>
      </c>
      <c r="E22">
        <f>VLOOKUP($D22,UKdata!$A$2:$E$49,2,FALSE)</f>
        <v>0</v>
      </c>
      <c r="F22">
        <f>VLOOKUP($D22,UKdata!$A$2:$E$49,3,FALSE)</f>
        <v>0</v>
      </c>
      <c r="G22">
        <f>IF($C22="Exp-8",VLOOKUP($D22,UKdata!$A$2:$E$49,4,FALSE),0)</f>
        <v>0</v>
      </c>
      <c r="H22">
        <f>IF($C22="Vet-9",VLOOKUP($D22,UKdata!$A$2:$E$49,5,FALSE),0)</f>
        <v>0</v>
      </c>
      <c r="I22">
        <f t="shared" si="12"/>
        <v>0</v>
      </c>
      <c r="J22" s="3"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>IF($M22&lt;&gt;0,SUM($M$5:$M22),0)</f>
        <v>0</v>
      </c>
      <c r="Q22">
        <f>IF($N22&lt;&gt;0,SUM($N$5:$N22)+15,0)</f>
        <v>0</v>
      </c>
      <c r="R22">
        <f>IF($O22&lt;&gt;0,SUM($O$6:$O22)+30,0)</f>
        <v>0</v>
      </c>
      <c r="S22">
        <f t="shared" si="7"/>
        <v>0</v>
      </c>
      <c r="T22">
        <f t="shared" si="7"/>
        <v>0</v>
      </c>
      <c r="U22">
        <f t="shared" si="7"/>
        <v>0</v>
      </c>
      <c r="V22" s="17"/>
    </row>
    <row r="23" spans="1:22" ht="12.75">
      <c r="A23" s="8">
        <f t="shared" si="8"/>
        <v>0</v>
      </c>
      <c r="C23" s="22">
        <v>0</v>
      </c>
      <c r="D23" s="3" t="s">
        <v>133</v>
      </c>
      <c r="E23">
        <f>VLOOKUP($D23,UKdata!$A$2:$E$49,2,FALSE)</f>
        <v>0</v>
      </c>
      <c r="F23">
        <f>IF($C23="Reg-8",VLOOKUP($D23,UKdata!$A$2:$E$49,3,FALSE),0)</f>
        <v>0</v>
      </c>
      <c r="G23">
        <f>IF($C23="Exp-8",VLOOKUP($D23,UKdata!$A$2:$E$49,4,FALSE),0)</f>
        <v>0</v>
      </c>
      <c r="H23">
        <f>IF($C23="Vet-9",VLOOKUP($D23,UKdata!$A$2:$E$49,5,FALSE),0)</f>
        <v>0</v>
      </c>
      <c r="I23">
        <f t="shared" si="12"/>
        <v>0</v>
      </c>
      <c r="J23" s="3">
        <v>0</v>
      </c>
      <c r="K23" s="4">
        <f>IF($D23&lt;&gt;"No Carriers",IF($C23&lt;&gt;$F$5,"Error - must match HQ morale",0),0)</f>
        <v>0</v>
      </c>
      <c r="M23">
        <f t="shared" si="9"/>
        <v>0</v>
      </c>
      <c r="N23">
        <f t="shared" si="10"/>
        <v>0</v>
      </c>
      <c r="O23">
        <f t="shared" si="11"/>
        <v>0</v>
      </c>
      <c r="P23">
        <f>IF($M23&lt;&gt;0,SUM($M$5:$M23),0)</f>
        <v>0</v>
      </c>
      <c r="Q23">
        <f>IF($N23&lt;&gt;0,SUM($N$5:$N23)+15,0)</f>
        <v>0</v>
      </c>
      <c r="R23">
        <f>IF($O23&lt;&gt;0,SUM($O$6:$O23)+30,0)</f>
        <v>0</v>
      </c>
      <c r="S23">
        <f t="shared" si="7"/>
        <v>0</v>
      </c>
      <c r="T23">
        <f t="shared" si="7"/>
        <v>0</v>
      </c>
      <c r="U23">
        <f t="shared" si="7"/>
        <v>0</v>
      </c>
      <c r="V23" s="17"/>
    </row>
    <row r="24" spans="1:22" ht="12.75">
      <c r="A24" s="8">
        <f t="shared" si="8"/>
        <v>0</v>
      </c>
      <c r="C24" s="22">
        <v>0</v>
      </c>
      <c r="D24" s="3" t="s">
        <v>133</v>
      </c>
      <c r="E24">
        <f>VLOOKUP($D24,UKdata!$A$2:$E$49,2,FALSE)</f>
        <v>0</v>
      </c>
      <c r="F24">
        <f>IF($C24="Reg-8",VLOOKUP($D24,UKdata!$A$2:$E$49,3,FALSE),0)</f>
        <v>0</v>
      </c>
      <c r="G24">
        <f>IF($C24="Exp-8",VLOOKUP($D24,UKdata!$A$2:$E$49,4,FALSE),0)</f>
        <v>0</v>
      </c>
      <c r="H24">
        <f>IF($C24="Vet-9",VLOOKUP($D24,UKdata!$A$2:$E$49,5,FALSE),0)</f>
        <v>0</v>
      </c>
      <c r="I24">
        <f t="shared" si="12"/>
        <v>0</v>
      </c>
      <c r="J24" s="3">
        <v>0</v>
      </c>
      <c r="K24" s="4">
        <f>IF($D24&lt;&gt;"No Carriers",IF(C$24&lt;&gt;$C$15,"Error - must match HQ morale",0),0)</f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>IF($M24&lt;&gt;0,SUM($M$5:$M24),0)</f>
        <v>0</v>
      </c>
      <c r="Q24">
        <f>IF($N24&lt;&gt;0,SUM($N$5:$N24)+15,0)</f>
        <v>0</v>
      </c>
      <c r="R24">
        <f>IF($O24&lt;&gt;0,SUM($O$6:$O24)+30,0)</f>
        <v>0</v>
      </c>
      <c r="S24">
        <f t="shared" si="7"/>
        <v>0</v>
      </c>
      <c r="T24">
        <f t="shared" si="7"/>
        <v>0</v>
      </c>
      <c r="U24">
        <f t="shared" si="7"/>
        <v>0</v>
      </c>
      <c r="V24" s="17"/>
    </row>
    <row r="25" spans="1:22" ht="12.75">
      <c r="A25" s="8">
        <f t="shared" si="8"/>
        <v>0</v>
      </c>
      <c r="C25">
        <v>0</v>
      </c>
      <c r="J25">
        <v>0</v>
      </c>
      <c r="M25">
        <f t="shared" si="9"/>
        <v>0</v>
      </c>
      <c r="N25">
        <f t="shared" si="10"/>
        <v>0</v>
      </c>
      <c r="O25">
        <f t="shared" si="11"/>
        <v>0</v>
      </c>
      <c r="P25">
        <f>IF($M25&lt;&gt;0,SUM($M$5:$M25),0)</f>
        <v>0</v>
      </c>
      <c r="Q25">
        <f>IF($N25&lt;&gt;0,SUM($N$5:$N25)+15,0)</f>
        <v>0</v>
      </c>
      <c r="R25">
        <f>IF($O25&lt;&gt;0,SUM($O$6:$O25)+30,0)</f>
        <v>0</v>
      </c>
      <c r="S25">
        <f t="shared" si="7"/>
        <v>0</v>
      </c>
      <c r="T25">
        <f t="shared" si="7"/>
        <v>0</v>
      </c>
      <c r="U25">
        <f t="shared" si="7"/>
        <v>0</v>
      </c>
      <c r="V25" s="17"/>
    </row>
    <row r="26" spans="1:22" ht="12.75">
      <c r="A26" s="8">
        <f t="shared" si="8"/>
        <v>0</v>
      </c>
      <c r="C26">
        <v>0</v>
      </c>
      <c r="D26" s="20" t="s">
        <v>208</v>
      </c>
      <c r="J26"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>IF($M26&lt;&gt;0,SUM($M$5:$M26),0)</f>
        <v>0</v>
      </c>
      <c r="Q26">
        <f>IF($N26&lt;&gt;0,SUM($N$5:$N26)+15,0)</f>
        <v>0</v>
      </c>
      <c r="R26">
        <f>IF($O26&lt;&gt;0,SUM($O$6:$O26)+30,0)</f>
        <v>0</v>
      </c>
      <c r="S26">
        <f t="shared" si="7"/>
        <v>0</v>
      </c>
      <c r="T26">
        <f t="shared" si="7"/>
        <v>0</v>
      </c>
      <c r="U26">
        <f t="shared" si="7"/>
        <v>0</v>
      </c>
      <c r="V26" s="17"/>
    </row>
    <row r="27" spans="1:22" ht="12.75">
      <c r="A27" s="8">
        <f t="shared" si="8"/>
        <v>0</v>
      </c>
      <c r="C27" s="22">
        <v>0</v>
      </c>
      <c r="D27" s="3" t="s">
        <v>140</v>
      </c>
      <c r="E27">
        <f>VLOOKUP($D27,UKdata!$A$2:$E$49,2,FALSE)</f>
        <v>0</v>
      </c>
      <c r="F27">
        <f>IF($C27="Reg-8",VLOOKUP($D27,UKdata!$A$2:$E$49,3,FALSE),0)</f>
        <v>0</v>
      </c>
      <c r="G27">
        <f>IF($C27="Exp-8",VLOOKUP($D27,UKdata!$A$2:$E$49,4,FALSE),0)</f>
        <v>0</v>
      </c>
      <c r="H27">
        <f>IF($C27="Vet-9",VLOOKUP($D27,UKdata!$A$2:$E$49,5,FALSE),0)</f>
        <v>0</v>
      </c>
      <c r="I27">
        <f aca="true" t="shared" si="13" ref="I27:I34">SUM(F27:H27)</f>
        <v>0</v>
      </c>
      <c r="J27" s="3"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>IF($M27&lt;&gt;0,SUM($M$5:$M27),0)</f>
        <v>0</v>
      </c>
      <c r="Q27">
        <f>IF($N27&lt;&gt;0,SUM($N$5:$N27)+15,0)</f>
        <v>0</v>
      </c>
      <c r="R27">
        <f>IF($O27&lt;&gt;0,SUM($O$6:$O27)+30,0)</f>
        <v>0</v>
      </c>
      <c r="S27">
        <f t="shared" si="7"/>
        <v>0</v>
      </c>
      <c r="T27">
        <f t="shared" si="7"/>
        <v>0</v>
      </c>
      <c r="U27">
        <f t="shared" si="7"/>
        <v>0</v>
      </c>
      <c r="V27" s="17"/>
    </row>
    <row r="28" spans="3:22" ht="12.75">
      <c r="C28" s="22">
        <v>0</v>
      </c>
      <c r="D28" s="3" t="s">
        <v>140</v>
      </c>
      <c r="E28">
        <f>VLOOKUP($D28,UKdata!$A$2:$E$49,2,FALSE)</f>
        <v>0</v>
      </c>
      <c r="F28">
        <f>IF($C28="Reg-8",VLOOKUP($D28,UKdata!$A$2:$E$49,3,FALSE),0)</f>
        <v>0</v>
      </c>
      <c r="G28">
        <f>IF($C28="Exp-8",VLOOKUP($D28,UKdata!$A$2:$E$49,4,FALSE),0)</f>
        <v>0</v>
      </c>
      <c r="H28">
        <f>IF($C28="Vet-9",VLOOKUP($D28,UKdata!$A$2:$E$49,5,FALSE),0)</f>
        <v>0</v>
      </c>
      <c r="I28">
        <f t="shared" si="13"/>
        <v>0</v>
      </c>
      <c r="J28" s="3">
        <v>0</v>
      </c>
      <c r="V28" s="17"/>
    </row>
    <row r="29" spans="1:22" ht="12.75">
      <c r="A29" s="8">
        <f t="shared" si="8"/>
        <v>0</v>
      </c>
      <c r="C29" s="22">
        <v>0</v>
      </c>
      <c r="D29" s="3" t="s">
        <v>136</v>
      </c>
      <c r="E29">
        <f>VLOOKUP($D29,UKdata!$A$2:$E$49,2,FALSE)</f>
        <v>0</v>
      </c>
      <c r="F29">
        <f>IF($C29="Reg-8",VLOOKUP($D29,UKdata!$A$2:$E$49,3,FALSE),0)</f>
        <v>0</v>
      </c>
      <c r="G29">
        <f>IF($C29="Exp-8",VLOOKUP($D29,UKdata!$A$2:$E$49,4,FALSE),0)</f>
        <v>0</v>
      </c>
      <c r="H29">
        <f>IF($C29="Vet-9",VLOOKUP($D29,UKdata!$A$2:$E$49,5,FALSE),0)</f>
        <v>0</v>
      </c>
      <c r="I29">
        <f t="shared" si="13"/>
        <v>0</v>
      </c>
      <c r="J29" s="3"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>IF($M29&lt;&gt;0,SUM($M$5:$M29),0)</f>
        <v>0</v>
      </c>
      <c r="Q29">
        <f>IF($N29&lt;&gt;0,SUM($N$5:$N29)+15,0)</f>
        <v>0</v>
      </c>
      <c r="R29">
        <f>IF($O29&lt;&gt;0,SUM($O$6:$O29)+30,0)</f>
        <v>0</v>
      </c>
      <c r="S29">
        <f aca="true" t="shared" si="14" ref="S29:U58">IF(M29&gt;0,$I29,0)</f>
        <v>0</v>
      </c>
      <c r="T29">
        <f t="shared" si="14"/>
        <v>0</v>
      </c>
      <c r="U29">
        <f t="shared" si="14"/>
        <v>0</v>
      </c>
      <c r="V29" s="17"/>
    </row>
    <row r="30" spans="1:22" ht="12.75">
      <c r="A30" s="8">
        <f t="shared" si="8"/>
        <v>0</v>
      </c>
      <c r="C30" s="22">
        <v>0</v>
      </c>
      <c r="D30" s="3" t="s">
        <v>136</v>
      </c>
      <c r="E30">
        <f>VLOOKUP($D30,UKdata!$A$2:$E$49,2,FALSE)</f>
        <v>0</v>
      </c>
      <c r="F30">
        <f>IF($C30="Reg-8",VLOOKUP($D30,UKdata!$A$2:$E$49,3,FALSE),0)</f>
        <v>0</v>
      </c>
      <c r="G30">
        <f>IF($C30="Exp-8",VLOOKUP($D30,UKdata!$A$2:$E$49,4,FALSE),0)</f>
        <v>0</v>
      </c>
      <c r="H30">
        <f>IF($C30="Vet-9",VLOOKUP($D30,UKdata!$A$2:$E$49,5,FALSE),0)</f>
        <v>0</v>
      </c>
      <c r="I30">
        <f t="shared" si="13"/>
        <v>0</v>
      </c>
      <c r="J30" s="3"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>IF($M30&lt;&gt;0,SUM($M$5:$M30),0)</f>
        <v>0</v>
      </c>
      <c r="Q30">
        <f>IF($N30&lt;&gt;0,SUM($N$5:$N30)+15,0)</f>
        <v>0</v>
      </c>
      <c r="R30">
        <f>IF($O30&lt;&gt;0,SUM($O$6:$O30)+30,0)</f>
        <v>0</v>
      </c>
      <c r="S30">
        <f t="shared" si="14"/>
        <v>0</v>
      </c>
      <c r="T30">
        <f t="shared" si="14"/>
        <v>0</v>
      </c>
      <c r="U30">
        <f t="shared" si="14"/>
        <v>0</v>
      </c>
      <c r="V30" s="17"/>
    </row>
    <row r="31" spans="1:22" ht="12.75">
      <c r="A31" s="8">
        <f>IF(M31=1,"Ord"&amp;P31,IF(N31=1,"Ord"&amp;Q31,IF(O31=1,"Ord"&amp;R31,IF(I31&gt;0,"E",0))))</f>
        <v>0</v>
      </c>
      <c r="C31" s="22">
        <v>0</v>
      </c>
      <c r="D31" s="3" t="s">
        <v>145</v>
      </c>
      <c r="E31">
        <f>VLOOKUP($D31,UKdata!$A$2:$E$49,2,FALSE)</f>
        <v>0</v>
      </c>
      <c r="F31">
        <f>IF($C31="Reg-8",VLOOKUP($D31,UKdata!$A$2:$E$49,3,FALSE),0)</f>
        <v>0</v>
      </c>
      <c r="G31">
        <f>IF($C31="Exp-8",VLOOKUP($D31,UKdata!$A$2:$E$49,4,FALSE),0)</f>
        <v>0</v>
      </c>
      <c r="H31">
        <f>IF($C31="Vet-9",VLOOKUP($D31,UKdata!$A$2:$E$49,5,FALSE),0)</f>
        <v>0</v>
      </c>
      <c r="I31">
        <f t="shared" si="13"/>
        <v>0</v>
      </c>
      <c r="J31" s="3">
        <v>0</v>
      </c>
      <c r="M31">
        <f>IF(J31="Holding",1,0)</f>
        <v>0</v>
      </c>
      <c r="N31">
        <f>IF(J31="Reserve",1,0)</f>
        <v>0</v>
      </c>
      <c r="O31">
        <f>IF(J31="Assault",1,0)</f>
        <v>0</v>
      </c>
      <c r="P31">
        <f>IF($M31&lt;&gt;0,SUM($M$5:$M31),0)</f>
        <v>0</v>
      </c>
      <c r="Q31">
        <f>IF($N31&lt;&gt;0,SUM($N$5:$N31)+15,0)</f>
        <v>0</v>
      </c>
      <c r="R31">
        <f>IF($O31&lt;&gt;0,SUM($O$6:$O31)+30,0)</f>
        <v>0</v>
      </c>
      <c r="S31">
        <f t="shared" si="14"/>
        <v>0</v>
      </c>
      <c r="T31">
        <f t="shared" si="14"/>
        <v>0</v>
      </c>
      <c r="U31">
        <f t="shared" si="14"/>
        <v>0</v>
      </c>
      <c r="V31" s="17"/>
    </row>
    <row r="32" spans="1:22" ht="12.75">
      <c r="A32" s="8">
        <f>IF(M32=1,"Ord"&amp;P32,IF(N32=1,"Ord"&amp;Q32,IF(O32=1,"Ord"&amp;R32,IF(I32&gt;0,"E",0))))</f>
        <v>0</v>
      </c>
      <c r="C32" s="22">
        <v>0</v>
      </c>
      <c r="D32" s="3" t="s">
        <v>0</v>
      </c>
      <c r="E32">
        <f>VLOOKUP($D32,UKdata!$A$2:$E$49,2,FALSE)</f>
        <v>0</v>
      </c>
      <c r="F32">
        <f>IF($C32="Reg-8",VLOOKUP($D32,UKdata!$A$2:$E$49,3,FALSE),0)</f>
        <v>0</v>
      </c>
      <c r="G32">
        <f>IF($C32="Exp-8",VLOOKUP($D32,UKdata!$A$2:$E$49,4,FALSE),0)</f>
        <v>0</v>
      </c>
      <c r="H32">
        <f>IF($C32="Vet-9",VLOOKUP($D32,UKdata!$A$2:$E$49,5,FALSE),0)</f>
        <v>0</v>
      </c>
      <c r="I32">
        <f t="shared" si="13"/>
        <v>0</v>
      </c>
      <c r="J32" s="3">
        <v>0</v>
      </c>
      <c r="M32">
        <f>IF(J32="Holding",1,0)</f>
        <v>0</v>
      </c>
      <c r="N32">
        <f>IF(J32="Reserve",1,0)</f>
        <v>0</v>
      </c>
      <c r="O32">
        <f>IF(J32="Assault",1,0)</f>
        <v>0</v>
      </c>
      <c r="P32">
        <f>IF($M32&lt;&gt;0,SUM($M$5:$M32),0)</f>
        <v>0</v>
      </c>
      <c r="Q32">
        <f>IF($N32&lt;&gt;0,SUM($N$5:$N32)+15,0)</f>
        <v>0</v>
      </c>
      <c r="R32">
        <f>IF($O32&lt;&gt;0,SUM($O$6:$O32)+30,0)</f>
        <v>0</v>
      </c>
      <c r="S32">
        <f t="shared" si="14"/>
        <v>0</v>
      </c>
      <c r="T32">
        <f t="shared" si="14"/>
        <v>0</v>
      </c>
      <c r="U32">
        <f t="shared" si="14"/>
        <v>0</v>
      </c>
      <c r="V32" s="17"/>
    </row>
    <row r="33" spans="1:22" ht="12.75">
      <c r="A33" s="8">
        <f>IF(M33=1,"Ord"&amp;P33,IF(N33=1,"Ord"&amp;Q33,IF(O33=1,"Ord"&amp;R33,IF(I33&gt;0,"E",0))))</f>
        <v>0</v>
      </c>
      <c r="C33" s="22">
        <v>0</v>
      </c>
      <c r="D33" s="3" t="s">
        <v>178</v>
      </c>
      <c r="E33">
        <f>VLOOKUP($D33,UKdata!$A$2:$E$202,2,FALSE)</f>
        <v>0</v>
      </c>
      <c r="F33">
        <f>IF($C33="Reg-8",VLOOKUP($D33,UKdata!$A$2:$E$202,3,FALSE),0)</f>
        <v>0</v>
      </c>
      <c r="G33">
        <f>IF($C33="Exp-8",VLOOKUP($D33,UKdata!$A$2:$E$202,4,FALSE),0)</f>
        <v>0</v>
      </c>
      <c r="H33">
        <f>IF($C33="Vet-9",VLOOKUP($D33,UKdata!$A$2:$E$202,5,FALSE),0)</f>
        <v>0</v>
      </c>
      <c r="I33">
        <f t="shared" si="13"/>
        <v>0</v>
      </c>
      <c r="J33" s="3">
        <v>0</v>
      </c>
      <c r="M33">
        <f>IF(J33="Holding",1,0)</f>
        <v>0</v>
      </c>
      <c r="N33">
        <f>IF(J33="Reserve",1,0)</f>
        <v>0</v>
      </c>
      <c r="O33">
        <f>IF(J33="Assault",1,0)</f>
        <v>0</v>
      </c>
      <c r="P33">
        <f>IF($M33&lt;&gt;0,SUM($M$5:$M33),0)</f>
        <v>0</v>
      </c>
      <c r="Q33">
        <f>IF($N33&lt;&gt;0,SUM($N$5:$N33)+15,0)</f>
        <v>0</v>
      </c>
      <c r="R33">
        <f>IF($O33&lt;&gt;0,SUM($O$6:$O33)+30,0)</f>
        <v>0</v>
      </c>
      <c r="S33">
        <f t="shared" si="14"/>
        <v>0</v>
      </c>
      <c r="T33">
        <f t="shared" si="14"/>
        <v>0</v>
      </c>
      <c r="U33">
        <f t="shared" si="14"/>
        <v>0</v>
      </c>
      <c r="V33" s="17"/>
    </row>
    <row r="34" spans="1:22" ht="12.75">
      <c r="A34" s="8">
        <f>IF(M34=1,"Ord"&amp;P34,IF(N34=1,"Ord"&amp;Q34,IF(O34=1,"Ord"&amp;R34,IF(I34&gt;0,"E",0))))</f>
        <v>0</v>
      </c>
      <c r="C34" s="22">
        <v>0</v>
      </c>
      <c r="D34" s="3" t="s">
        <v>181</v>
      </c>
      <c r="E34">
        <f>VLOOKUP($D34,UKdata!$A$2:$E$202,2,FALSE)</f>
        <v>0</v>
      </c>
      <c r="F34">
        <f>IF($C34="Reg-8",VLOOKUP($D34,UKdata!$A$2:$E$202,3,FALSE),0)</f>
        <v>0</v>
      </c>
      <c r="G34">
        <f>IF($C34="Exp-8",VLOOKUP($D34,UKdata!$A$2:$E$202,4,FALSE),0)</f>
        <v>0</v>
      </c>
      <c r="H34">
        <f>IF($C34="Vet-9",VLOOKUP($D34,UKdata!$A$2:$E$202,5,FALSE),0)</f>
        <v>0</v>
      </c>
      <c r="I34">
        <f t="shared" si="13"/>
        <v>0</v>
      </c>
      <c r="J34" s="3">
        <v>0</v>
      </c>
      <c r="M34">
        <f>IF(J34="Holding",1,0)</f>
        <v>0</v>
      </c>
      <c r="N34">
        <f>IF(J34="Reserve",1,0)</f>
        <v>0</v>
      </c>
      <c r="O34">
        <f>IF(J34="Assault",1,0)</f>
        <v>0</v>
      </c>
      <c r="P34">
        <f>IF($M34&lt;&gt;0,SUM($M$5:$M34),0)</f>
        <v>0</v>
      </c>
      <c r="Q34">
        <f>IF($N34&lt;&gt;0,SUM($N$5:$N34)+15,0)</f>
        <v>0</v>
      </c>
      <c r="R34">
        <f>IF($O34&lt;&gt;0,SUM($O$6:$O34)+30,0)</f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 s="17"/>
    </row>
    <row r="35" spans="1:22" ht="12.75">
      <c r="A35" s="8">
        <f t="shared" si="8"/>
        <v>0</v>
      </c>
      <c r="C35">
        <v>0</v>
      </c>
      <c r="J35"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>IF($M35&lt;&gt;0,SUM($M$5:$M35),0)</f>
        <v>0</v>
      </c>
      <c r="Q35">
        <f>IF($N35&lt;&gt;0,SUM($N$5:$N35)+15,0)</f>
        <v>0</v>
      </c>
      <c r="R35">
        <f>IF($O35&lt;&gt;0,SUM($O$6:$O35)+30,0)</f>
        <v>0</v>
      </c>
      <c r="S35">
        <f t="shared" si="14"/>
        <v>0</v>
      </c>
      <c r="T35">
        <f t="shared" si="14"/>
        <v>0</v>
      </c>
      <c r="U35">
        <f t="shared" si="14"/>
        <v>0</v>
      </c>
      <c r="V35" s="17"/>
    </row>
    <row r="36" spans="1:22" ht="12.75">
      <c r="A36" s="8">
        <f t="shared" si="8"/>
        <v>0</v>
      </c>
      <c r="C36">
        <v>0</v>
      </c>
      <c r="D36" s="20" t="s">
        <v>209</v>
      </c>
      <c r="J36"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>IF($M36&lt;&gt;0,SUM($M$5:$M36),0)</f>
        <v>0</v>
      </c>
      <c r="Q36">
        <f>IF($N36&lt;&gt;0,SUM($N$5:$N36)+15,0)</f>
        <v>0</v>
      </c>
      <c r="R36">
        <f>IF($O36&lt;&gt;0,SUM($O$6:$O36)+30,0)</f>
        <v>0</v>
      </c>
      <c r="S36">
        <f t="shared" si="14"/>
        <v>0</v>
      </c>
      <c r="T36">
        <f t="shared" si="14"/>
        <v>0</v>
      </c>
      <c r="U36">
        <f t="shared" si="14"/>
        <v>0</v>
      </c>
      <c r="V36" s="17"/>
    </row>
    <row r="37" spans="1:22" ht="12.75">
      <c r="A37" s="8">
        <f t="shared" si="8"/>
        <v>0</v>
      </c>
      <c r="C37" s="22">
        <v>0</v>
      </c>
      <c r="D37" s="3" t="s">
        <v>164</v>
      </c>
      <c r="E37">
        <f>VLOOKUP($D37,UKdata!$A$2:$E$202,2,FALSE)</f>
        <v>0</v>
      </c>
      <c r="F37">
        <f>IF($C37="Reg-8",VLOOKUP($D37,UKdata!$A$2:$E$202,3,FALSE),0)</f>
        <v>0</v>
      </c>
      <c r="G37">
        <f>IF($C37="Exp-8",VLOOKUP($D37,UKdata!$A$2:$E$202,4,FALSE),0)</f>
        <v>0</v>
      </c>
      <c r="H37">
        <f>IF($C37="Vet-9",VLOOKUP($D37,UKdata!$A$2:$E$202,5,FALSE),0)</f>
        <v>0</v>
      </c>
      <c r="I37">
        <f>SUM(F37:H37)</f>
        <v>0</v>
      </c>
      <c r="J37" s="3">
        <v>0</v>
      </c>
      <c r="K37">
        <f>VLOOKUP($D37,UKdata!$A$2:$F$202,6,FALSE)</f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>IF($M37&lt;&gt;0,SUM($M$5:$M37),0)</f>
        <v>0</v>
      </c>
      <c r="Q37">
        <f>IF($N37&lt;&gt;0,SUM($N$5:$N37)+15,0)</f>
        <v>0</v>
      </c>
      <c r="R37">
        <f>IF($O37&lt;&gt;0,SUM($O$6:$O37)+30,0)</f>
        <v>0</v>
      </c>
      <c r="S37">
        <f t="shared" si="14"/>
        <v>0</v>
      </c>
      <c r="T37">
        <f t="shared" si="14"/>
        <v>0</v>
      </c>
      <c r="U37">
        <f t="shared" si="14"/>
        <v>0</v>
      </c>
      <c r="V37" s="17"/>
    </row>
    <row r="38" spans="1:22" ht="12.75">
      <c r="A38" s="8">
        <f t="shared" si="8"/>
        <v>0</v>
      </c>
      <c r="C38" s="22">
        <v>0</v>
      </c>
      <c r="D38" s="3" t="s">
        <v>155</v>
      </c>
      <c r="E38">
        <f>VLOOKUP($D38,UKdata!$A$2:$E$202,2,FALSE)</f>
        <v>0</v>
      </c>
      <c r="F38">
        <f>IF($C38="Reg-8",VLOOKUP($D38,UKdata!$A$2:$E$202,3,FALSE),0)</f>
        <v>0</v>
      </c>
      <c r="G38">
        <f>IF($C38="Exp-8",VLOOKUP($D38,UKdata!$A$2:$E$202,4,FALSE),0)</f>
        <v>0</v>
      </c>
      <c r="H38">
        <f>IF($C38="Vet-9",VLOOKUP($D38,UKdata!$A$2:$E$202,5,FALSE),0)</f>
        <v>0</v>
      </c>
      <c r="I38">
        <f>SUM(F38:H38)</f>
        <v>0</v>
      </c>
      <c r="J38" s="3">
        <v>0</v>
      </c>
      <c r="K38" s="4"/>
      <c r="M38">
        <f t="shared" si="9"/>
        <v>0</v>
      </c>
      <c r="N38">
        <f t="shared" si="10"/>
        <v>0</v>
      </c>
      <c r="O38">
        <f t="shared" si="11"/>
        <v>0</v>
      </c>
      <c r="P38">
        <f>IF($M38&lt;&gt;0,SUM($M$5:$M38),0)</f>
        <v>0</v>
      </c>
      <c r="Q38">
        <f>IF($N38&lt;&gt;0,SUM($N$5:$N38)+15,0)</f>
        <v>0</v>
      </c>
      <c r="R38">
        <f>IF($O38&lt;&gt;0,SUM($O$6:$O38)+30,0)</f>
        <v>0</v>
      </c>
      <c r="S38">
        <f t="shared" si="14"/>
        <v>0</v>
      </c>
      <c r="T38">
        <f t="shared" si="14"/>
        <v>0</v>
      </c>
      <c r="U38">
        <f t="shared" si="14"/>
        <v>0</v>
      </c>
      <c r="V38" s="17"/>
    </row>
    <row r="39" spans="1:22" ht="12.75">
      <c r="A39" s="8">
        <f t="shared" si="8"/>
        <v>0</v>
      </c>
      <c r="C39" s="22">
        <v>0</v>
      </c>
      <c r="D39" s="3" t="s">
        <v>155</v>
      </c>
      <c r="E39">
        <f>VLOOKUP($D39,UKdata!$A$2:$E$202,2,FALSE)</f>
        <v>0</v>
      </c>
      <c r="F39">
        <f>IF($C39="Reg-8",VLOOKUP($D39,UKdata!$A$2:$E$202,3,FALSE),0)</f>
        <v>0</v>
      </c>
      <c r="G39">
        <f>IF($C39="Exp-8",VLOOKUP($D39,UKdata!$A$2:$E$202,4,FALSE),0)</f>
        <v>0</v>
      </c>
      <c r="H39">
        <f>IF($C39="Vet-9",VLOOKUP($D39,UKdata!$A$2:$E$202,5,FALSE),0)</f>
        <v>0</v>
      </c>
      <c r="I39">
        <f>SUM(F39:H39)</f>
        <v>0</v>
      </c>
      <c r="J39" s="3">
        <v>0</v>
      </c>
      <c r="K39" s="4"/>
      <c r="M39">
        <f t="shared" si="9"/>
        <v>0</v>
      </c>
      <c r="N39">
        <f t="shared" si="10"/>
        <v>0</v>
      </c>
      <c r="O39">
        <f t="shared" si="11"/>
        <v>0</v>
      </c>
      <c r="P39">
        <f>IF($M39&lt;&gt;0,SUM($M$5:$M39),0)</f>
        <v>0</v>
      </c>
      <c r="Q39">
        <f>IF($N39&lt;&gt;0,SUM($N$5:$N39)+15,0)</f>
        <v>0</v>
      </c>
      <c r="R39">
        <f>IF($O39&lt;&gt;0,SUM($O$6:$O39)+30,0)</f>
        <v>0</v>
      </c>
      <c r="S39">
        <f t="shared" si="14"/>
        <v>0</v>
      </c>
      <c r="T39">
        <f t="shared" si="14"/>
        <v>0</v>
      </c>
      <c r="U39">
        <f t="shared" si="14"/>
        <v>0</v>
      </c>
      <c r="V39" s="17"/>
    </row>
    <row r="40" spans="1:22" ht="12.75">
      <c r="A40" s="8">
        <f t="shared" si="8"/>
        <v>0</v>
      </c>
      <c r="C40" s="22">
        <v>0</v>
      </c>
      <c r="D40" s="3" t="s">
        <v>152</v>
      </c>
      <c r="E40">
        <f>VLOOKUP($D40,UKdata!$A$2:$E$202,2,FALSE)</f>
        <v>0</v>
      </c>
      <c r="F40">
        <f>IF($C40="Reg-8",VLOOKUP($D40,UKdata!$A$2:$E$202,3,FALSE),0)</f>
        <v>0</v>
      </c>
      <c r="G40">
        <f>IF($C40="Exp-8",VLOOKUP($D40,UKdata!$A$2:$E$202,4,FALSE),0)</f>
        <v>0</v>
      </c>
      <c r="H40">
        <f>IF($C40="Vet-9",VLOOKUP($D40,UKdata!$A$2:$E$202,5,FALSE),0)</f>
        <v>0</v>
      </c>
      <c r="I40">
        <f>SUM(F40:H40)</f>
        <v>0</v>
      </c>
      <c r="J40" s="3">
        <v>0</v>
      </c>
      <c r="K40" s="4"/>
      <c r="M40">
        <f t="shared" si="9"/>
        <v>0</v>
      </c>
      <c r="N40">
        <f t="shared" si="10"/>
        <v>0</v>
      </c>
      <c r="O40">
        <f t="shared" si="11"/>
        <v>0</v>
      </c>
      <c r="P40">
        <f>IF($M40&lt;&gt;0,SUM($M$5:$M40),0)</f>
        <v>0</v>
      </c>
      <c r="Q40">
        <f>IF($N40&lt;&gt;0,SUM($N$5:$N40)+15,0)</f>
        <v>0</v>
      </c>
      <c r="R40">
        <f>IF($O40&lt;&gt;0,SUM($O$6:$O40)+30,0)</f>
        <v>0</v>
      </c>
      <c r="S40">
        <f t="shared" si="14"/>
        <v>0</v>
      </c>
      <c r="T40">
        <f t="shared" si="14"/>
        <v>0</v>
      </c>
      <c r="U40">
        <f t="shared" si="14"/>
        <v>0</v>
      </c>
      <c r="V40" s="17"/>
    </row>
    <row r="41" spans="1:22" ht="12.75">
      <c r="A41" s="8">
        <f>IF(M41=1,"Ord"&amp;P41,IF(N41=1,"Ord"&amp;Q41,IF(O41=1,"Ord"&amp;R41,IF(I41&gt;0,"E",0))))</f>
        <v>0</v>
      </c>
      <c r="C41" s="22">
        <v>0</v>
      </c>
      <c r="D41" s="3" t="s">
        <v>152</v>
      </c>
      <c r="E41">
        <f>VLOOKUP($D41,UKdata!$A$2:$E$202,2,FALSE)</f>
        <v>0</v>
      </c>
      <c r="F41">
        <f>IF($C41="Reg-8",VLOOKUP($D41,UKdata!$A$2:$E$202,3,FALSE),0)</f>
        <v>0</v>
      </c>
      <c r="G41">
        <f>IF($C41="Exp-8",VLOOKUP($D41,UKdata!$A$2:$E$202,4,FALSE),0)</f>
        <v>0</v>
      </c>
      <c r="H41">
        <f>IF($C41="Vet-9",VLOOKUP($D41,UKdata!$A$2:$E$202,5,FALSE),0)</f>
        <v>0</v>
      </c>
      <c r="I41">
        <f>SUM(F41:H41)</f>
        <v>0</v>
      </c>
      <c r="J41" s="3">
        <v>0</v>
      </c>
      <c r="K41" s="4"/>
      <c r="M41">
        <f>IF(J41="Holding",1,0)</f>
        <v>0</v>
      </c>
      <c r="N41">
        <f>IF(J41="Reserve",1,0)</f>
        <v>0</v>
      </c>
      <c r="O41">
        <f>IF(J41="Assault",1,0)</f>
        <v>0</v>
      </c>
      <c r="P41">
        <f>IF($M41&lt;&gt;0,SUM($M$5:$M41),0)</f>
        <v>0</v>
      </c>
      <c r="Q41">
        <f>IF($N41&lt;&gt;0,SUM($N$5:$N41)+15,0)</f>
        <v>0</v>
      </c>
      <c r="R41">
        <f>IF($O41&lt;&gt;0,SUM($O$6:$O41)+30,0)</f>
        <v>0</v>
      </c>
      <c r="S41">
        <f>IF(M41&gt;0,$I41,0)</f>
        <v>0</v>
      </c>
      <c r="T41">
        <f>IF(N41&gt;0,$I41,0)</f>
        <v>0</v>
      </c>
      <c r="U41">
        <f>IF(O41&gt;0,$I41,0)</f>
        <v>0</v>
      </c>
      <c r="V41" s="17"/>
    </row>
    <row r="42" spans="1:22" ht="12.75">
      <c r="A42" s="8">
        <f t="shared" si="8"/>
        <v>0</v>
      </c>
      <c r="C42">
        <v>0</v>
      </c>
      <c r="D42" t="s">
        <v>171</v>
      </c>
      <c r="J42">
        <v>0</v>
      </c>
      <c r="M42">
        <f t="shared" si="9"/>
        <v>0</v>
      </c>
      <c r="N42">
        <f t="shared" si="10"/>
        <v>0</v>
      </c>
      <c r="O42">
        <f t="shared" si="11"/>
        <v>0</v>
      </c>
      <c r="P42">
        <f>IF($M42&lt;&gt;0,SUM($M$5:$M42),0)</f>
        <v>0</v>
      </c>
      <c r="Q42">
        <f>IF($N42&lt;&gt;0,SUM($N$5:$N42)+15,0)</f>
        <v>0</v>
      </c>
      <c r="R42">
        <f>IF($O42&lt;&gt;0,SUM($O$6:$O42)+30,0)</f>
        <v>0</v>
      </c>
      <c r="S42">
        <f t="shared" si="14"/>
        <v>0</v>
      </c>
      <c r="T42">
        <f t="shared" si="14"/>
        <v>0</v>
      </c>
      <c r="U42">
        <f t="shared" si="14"/>
        <v>0</v>
      </c>
      <c r="V42" s="17"/>
    </row>
    <row r="43" spans="1:22" ht="12.75">
      <c r="A43" s="8">
        <f t="shared" si="8"/>
        <v>0</v>
      </c>
      <c r="C43">
        <v>0</v>
      </c>
      <c r="D43" s="20" t="s">
        <v>63</v>
      </c>
      <c r="J43"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>IF($M43&lt;&gt;0,SUM($M$5:$M43),0)</f>
        <v>0</v>
      </c>
      <c r="Q43">
        <f>IF($N43&lt;&gt;0,SUM($N$5:$N43)+15,0)</f>
        <v>0</v>
      </c>
      <c r="R43">
        <f>IF($O43&lt;&gt;0,SUM($O$6:$O43)+30,0)</f>
        <v>0</v>
      </c>
      <c r="S43">
        <f t="shared" si="14"/>
        <v>0</v>
      </c>
      <c r="T43">
        <f t="shared" si="14"/>
        <v>0</v>
      </c>
      <c r="U43">
        <f t="shared" si="14"/>
        <v>0</v>
      </c>
      <c r="V43" s="17"/>
    </row>
    <row r="44" spans="1:22" ht="12.75">
      <c r="A44" s="8">
        <f t="shared" si="8"/>
        <v>0</v>
      </c>
      <c r="C44" s="22">
        <v>0</v>
      </c>
      <c r="D44" s="3" t="s">
        <v>171</v>
      </c>
      <c r="E44">
        <f>VLOOKUP($D44,UKdata!$A$2:$E$202,2,FALSE)</f>
        <v>0</v>
      </c>
      <c r="F44">
        <f>IF($C44="Reg-8",VLOOKUP($D44,UKdata!$A$2:$E$202,3,FALSE),0)</f>
        <v>0</v>
      </c>
      <c r="G44">
        <f>IF($C44="Exp-8",VLOOKUP($D44,UKdata!$A$2:$E$202,4,FALSE),0)</f>
        <v>0</v>
      </c>
      <c r="H44">
        <f>IF($C44="Vet-9",VLOOKUP($D44,UKdata!$A$2:$E$202,5,FALSE),0)</f>
        <v>0</v>
      </c>
      <c r="I44">
        <f>SUM(F44:H44)</f>
        <v>0</v>
      </c>
      <c r="J44" s="3">
        <v>0</v>
      </c>
      <c r="M44">
        <f t="shared" si="9"/>
        <v>0</v>
      </c>
      <c r="N44">
        <f t="shared" si="10"/>
        <v>0</v>
      </c>
      <c r="O44">
        <f t="shared" si="11"/>
        <v>0</v>
      </c>
      <c r="P44">
        <f>IF($M44&lt;&gt;0,SUM($M$5:$M44),0)</f>
        <v>0</v>
      </c>
      <c r="Q44">
        <f>IF($N44&lt;&gt;0,SUM($N$5:$N44)+15,0)</f>
        <v>0</v>
      </c>
      <c r="R44">
        <f>IF($O44&lt;&gt;0,SUM($O$6:$O44)+30,0)</f>
        <v>0</v>
      </c>
      <c r="S44">
        <f t="shared" si="14"/>
        <v>0</v>
      </c>
      <c r="T44">
        <f t="shared" si="14"/>
        <v>0</v>
      </c>
      <c r="U44">
        <f t="shared" si="14"/>
        <v>0</v>
      </c>
      <c r="V44" s="17"/>
    </row>
    <row r="45" spans="1:22" ht="12.75">
      <c r="A45" s="8">
        <f t="shared" si="8"/>
        <v>0</v>
      </c>
      <c r="C45">
        <v>0</v>
      </c>
      <c r="J45"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>IF($M45&lt;&gt;0,SUM($M$5:$M45),0)</f>
        <v>0</v>
      </c>
      <c r="Q45">
        <f>IF($N45&lt;&gt;0,SUM($N$5:$N45)+15,0)</f>
        <v>0</v>
      </c>
      <c r="R45">
        <f>IF($O45&lt;&gt;0,SUM($O$6:$O45)+30,0)</f>
        <v>0</v>
      </c>
      <c r="S45">
        <f t="shared" si="14"/>
        <v>0</v>
      </c>
      <c r="T45">
        <f t="shared" si="14"/>
        <v>0</v>
      </c>
      <c r="U45">
        <f t="shared" si="14"/>
        <v>0</v>
      </c>
      <c r="V45" s="17"/>
    </row>
    <row r="46" spans="1:22" ht="12.75">
      <c r="A46" s="8">
        <f t="shared" si="8"/>
        <v>0</v>
      </c>
      <c r="C46">
        <v>0</v>
      </c>
      <c r="D46" s="20" t="s">
        <v>210</v>
      </c>
      <c r="J46"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>IF($M46&lt;&gt;0,SUM($M$5:$M46),0)</f>
        <v>0</v>
      </c>
      <c r="Q46">
        <f>IF($N46&lt;&gt;0,SUM($N$5:$N46)+15,0)</f>
        <v>0</v>
      </c>
      <c r="R46">
        <f>IF($O46&lt;&gt;0,SUM($O$6:$O46)+30,0)</f>
        <v>0</v>
      </c>
      <c r="S46">
        <f t="shared" si="14"/>
        <v>0</v>
      </c>
      <c r="T46">
        <f t="shared" si="14"/>
        <v>0</v>
      </c>
      <c r="U46">
        <f t="shared" si="14"/>
        <v>0</v>
      </c>
      <c r="V46" s="17"/>
    </row>
    <row r="47" spans="1:22" ht="12.75">
      <c r="A47" s="8">
        <f t="shared" si="8"/>
        <v>0</v>
      </c>
      <c r="C47" s="3">
        <v>0</v>
      </c>
      <c r="D47" s="3" t="s">
        <v>184</v>
      </c>
      <c r="E47">
        <f>VLOOKUP($D47,UKdata!$A$2:$E$202,2,FALSE)</f>
        <v>0</v>
      </c>
      <c r="F47">
        <f>IF($C47="Reg-8",VLOOKUP($D47,UKdata!$A$2:$E$202,3,FALSE),0)</f>
        <v>0</v>
      </c>
      <c r="G47">
        <f>IF($C47="Exp-8",VLOOKUP($D47,UKdata!$A$2:$E$202,4,FALSE),0)</f>
        <v>0</v>
      </c>
      <c r="H47">
        <f>IF($C47="Vet-9",VLOOKUP($D47,UKdata!$A$2:$E$202,5,FALSE),0)</f>
        <v>0</v>
      </c>
      <c r="I47">
        <f aca="true" t="shared" si="15" ref="I47:I53">SUM(F47:H47)</f>
        <v>0</v>
      </c>
      <c r="J47" s="3">
        <v>0</v>
      </c>
      <c r="K47">
        <f>VLOOKUP($D47,UKdata!$A$2:$F$202,6,FALSE)</f>
        <v>0</v>
      </c>
      <c r="M47">
        <f t="shared" si="9"/>
        <v>0</v>
      </c>
      <c r="N47">
        <f t="shared" si="10"/>
        <v>0</v>
      </c>
      <c r="O47">
        <f t="shared" si="11"/>
        <v>0</v>
      </c>
      <c r="P47">
        <f>IF($M47&lt;&gt;0,SUM($M$5:$M47),0)</f>
        <v>0</v>
      </c>
      <c r="Q47">
        <f>IF($N47&lt;&gt;0,SUM($N$5:$N47)+15,0)</f>
        <v>0</v>
      </c>
      <c r="R47">
        <f>IF($O47&lt;&gt;0,SUM($O$6:$O47)+30,0)</f>
        <v>0</v>
      </c>
      <c r="S47">
        <f t="shared" si="14"/>
        <v>0</v>
      </c>
      <c r="T47">
        <f t="shared" si="14"/>
        <v>0</v>
      </c>
      <c r="U47">
        <f t="shared" si="14"/>
        <v>0</v>
      </c>
      <c r="V47" s="17" t="e">
        <f>VLOOKUP($D47,UKdata!$A$2:$F$49,6,FALSE)</f>
        <v>#N/A</v>
      </c>
    </row>
    <row r="48" spans="1:22" ht="12.75">
      <c r="A48" s="8">
        <f>IF(M48=1,"Ord"&amp;P48,IF(N48=1,"Ord"&amp;Q48,IF(O48=1,"Ord"&amp;R48,IF(I48&gt;0,"E",0))))</f>
        <v>0</v>
      </c>
      <c r="C48" s="3">
        <v>0</v>
      </c>
      <c r="D48" s="3" t="s">
        <v>184</v>
      </c>
      <c r="E48">
        <f>VLOOKUP($D48,UKdata!$A$2:$E$202,2,FALSE)</f>
        <v>0</v>
      </c>
      <c r="F48">
        <f>IF($C48="Reg-8",VLOOKUP($D48,UKdata!$A$2:$E$202,3,FALSE),0)</f>
        <v>0</v>
      </c>
      <c r="G48">
        <f>IF($C48="Exp-8",VLOOKUP($D48,UKdata!$A$2:$E$202,4,FALSE),0)</f>
        <v>0</v>
      </c>
      <c r="H48">
        <f>IF($C48="Vet-9",VLOOKUP($D48,UKdata!$A$2:$E$202,5,FALSE),0)</f>
        <v>0</v>
      </c>
      <c r="I48">
        <f t="shared" si="15"/>
        <v>0</v>
      </c>
      <c r="J48" s="3">
        <v>0</v>
      </c>
      <c r="K48">
        <f>VLOOKUP($D48,UKdata!$A$2:$F$202,6,FALSE)</f>
        <v>0</v>
      </c>
      <c r="M48">
        <f>IF(J48="Holding",1,0)</f>
        <v>0</v>
      </c>
      <c r="N48">
        <f>IF(J48="Reserve",1,0)</f>
        <v>0</v>
      </c>
      <c r="O48">
        <f>IF(J48="Assault",1,0)</f>
        <v>0</v>
      </c>
      <c r="P48">
        <f>IF($M48&lt;&gt;0,SUM($M$5:$M48),0)</f>
        <v>0</v>
      </c>
      <c r="Q48">
        <f>IF($N48&lt;&gt;0,SUM($N$5:$N48)+15,0)</f>
        <v>0</v>
      </c>
      <c r="R48">
        <f>IF($O48&lt;&gt;0,SUM($O$6:$O48)+30,0)</f>
        <v>0</v>
      </c>
      <c r="S48">
        <f t="shared" si="14"/>
        <v>0</v>
      </c>
      <c r="T48">
        <f t="shared" si="14"/>
        <v>0</v>
      </c>
      <c r="U48">
        <f t="shared" si="14"/>
        <v>0</v>
      </c>
      <c r="V48" s="17" t="e">
        <f>VLOOKUP($D48,UKdata!$A$2:$F$49,6,FALSE)</f>
        <v>#N/A</v>
      </c>
    </row>
    <row r="49" spans="1:22" ht="12.75">
      <c r="A49" s="8">
        <f>IF(M49=1,"Ord"&amp;P49,IF(N49=1,"Ord"&amp;Q49,IF(O49=1,"Ord"&amp;R49,IF(I49&gt;0,"E",0))))</f>
        <v>0</v>
      </c>
      <c r="C49" s="3">
        <v>0</v>
      </c>
      <c r="D49" s="3" t="s">
        <v>184</v>
      </c>
      <c r="E49">
        <f>VLOOKUP($D49,UKdata!$A$2:$E$202,2,FALSE)</f>
        <v>0</v>
      </c>
      <c r="F49">
        <f>IF($C49="Reg-8",VLOOKUP($D49,UKdata!$A$2:$E$202,3,FALSE),0)</f>
        <v>0</v>
      </c>
      <c r="G49">
        <f>IF($C49="Exp-8",VLOOKUP($D49,UKdata!$A$2:$E$202,4,FALSE),0)</f>
        <v>0</v>
      </c>
      <c r="H49">
        <f>IF($C49="Vet-9",VLOOKUP($D49,UKdata!$A$2:$E$202,5,FALSE),0)</f>
        <v>0</v>
      </c>
      <c r="I49">
        <f t="shared" si="15"/>
        <v>0</v>
      </c>
      <c r="J49" s="3">
        <v>0</v>
      </c>
      <c r="K49">
        <f>VLOOKUP($D49,UKdata!$A$2:$F$202,6,FALSE)</f>
        <v>0</v>
      </c>
      <c r="M49">
        <f>IF(J49="Holding",1,0)</f>
        <v>0</v>
      </c>
      <c r="N49">
        <f>IF(J49="Reserve",1,0)</f>
        <v>0</v>
      </c>
      <c r="O49">
        <f>IF(J49="Assault",1,0)</f>
        <v>0</v>
      </c>
      <c r="P49">
        <f>IF($M49&lt;&gt;0,SUM($M$5:$M49),0)</f>
        <v>0</v>
      </c>
      <c r="Q49">
        <f>IF($N49&lt;&gt;0,SUM($N$5:$N49)+15,0)</f>
        <v>0</v>
      </c>
      <c r="R49">
        <f>IF($O49&lt;&gt;0,SUM($O$6:$O49)+30,0)</f>
        <v>0</v>
      </c>
      <c r="S49">
        <f t="shared" si="14"/>
        <v>0</v>
      </c>
      <c r="T49">
        <f t="shared" si="14"/>
        <v>0</v>
      </c>
      <c r="U49">
        <f t="shared" si="14"/>
        <v>0</v>
      </c>
      <c r="V49" s="17" t="e">
        <f>VLOOKUP($D49,UKdata!$A$2:$F$49,6,FALSE)</f>
        <v>#N/A</v>
      </c>
    </row>
    <row r="50" spans="1:22" ht="13.5" customHeight="1">
      <c r="A50" s="8">
        <f t="shared" si="8"/>
        <v>0</v>
      </c>
      <c r="C50" s="3">
        <v>0</v>
      </c>
      <c r="D50" s="3" t="s">
        <v>189</v>
      </c>
      <c r="E50">
        <f>VLOOKUP($D50,UKdata!$A$2:$E$202,2,FALSE)</f>
        <v>0</v>
      </c>
      <c r="F50">
        <f>IF($C50="Reg-8",VLOOKUP($D50,UKdata!$A$2:$E$202,3,FALSE),0)</f>
        <v>0</v>
      </c>
      <c r="G50">
        <f>IF($C50="Exp-8",VLOOKUP($D50,UKdata!$A$2:$E$202,4,FALSE),0)</f>
        <v>0</v>
      </c>
      <c r="H50">
        <f>IF($C50="Vet-9",VLOOKUP($D50,UKdata!$A$2:$E$202,5,FALSE),0)</f>
        <v>0</v>
      </c>
      <c r="I50">
        <f t="shared" si="15"/>
        <v>0</v>
      </c>
      <c r="J50" s="3">
        <v>0</v>
      </c>
      <c r="K50">
        <f>VLOOKUP($D50,UKdata!$A$2:$F$202,6,FALSE)</f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>IF($M50&lt;&gt;0,SUM($M$5:$M50),0)</f>
        <v>0</v>
      </c>
      <c r="Q50">
        <f>IF($N50&lt;&gt;0,SUM($N$5:$N50)+15,0)</f>
        <v>0</v>
      </c>
      <c r="R50">
        <f>IF($O50&lt;&gt;0,SUM($O$6:$O50)+30,0)</f>
        <v>0</v>
      </c>
      <c r="S50">
        <f t="shared" si="14"/>
        <v>0</v>
      </c>
      <c r="T50">
        <f t="shared" si="14"/>
        <v>0</v>
      </c>
      <c r="U50">
        <f t="shared" si="14"/>
        <v>0</v>
      </c>
      <c r="V50" s="17" t="e">
        <f>VLOOKUP($D50,UKdata!$A$2:$F$49,6,FALSE)</f>
        <v>#N/A</v>
      </c>
    </row>
    <row r="51" spans="1:22" ht="13.5" customHeight="1">
      <c r="A51" s="8">
        <f>IF(M51=1,"Ord"&amp;P51,IF(N51=1,"Ord"&amp;Q51,IF(O51=1,"Ord"&amp;R51,IF(I51&gt;0,"E",0))))</f>
        <v>0</v>
      </c>
      <c r="C51" s="3">
        <v>0</v>
      </c>
      <c r="D51" s="3" t="s">
        <v>189</v>
      </c>
      <c r="E51">
        <f>VLOOKUP($D51,UKdata!$A$2:$E$202,2,FALSE)</f>
        <v>0</v>
      </c>
      <c r="F51">
        <f>IF($C51="Reg-8",VLOOKUP($D51,UKdata!$A$2:$E$202,3,FALSE),0)</f>
        <v>0</v>
      </c>
      <c r="G51">
        <f>IF($C51="Exp-8",VLOOKUP($D51,UKdata!$A$2:$E$202,4,FALSE),0)</f>
        <v>0</v>
      </c>
      <c r="H51">
        <f>IF($C51="Vet-9",VLOOKUP($D51,UKdata!$A$2:$E$202,5,FALSE),0)</f>
        <v>0</v>
      </c>
      <c r="I51">
        <f t="shared" si="15"/>
        <v>0</v>
      </c>
      <c r="J51" s="3">
        <v>0</v>
      </c>
      <c r="K51">
        <f>VLOOKUP($D51,UKdata!$A$2:$F$202,6,FALSE)</f>
        <v>0</v>
      </c>
      <c r="M51">
        <f>IF(J51="Holding",1,0)</f>
        <v>0</v>
      </c>
      <c r="N51">
        <f>IF(J51="Reserve",1,0)</f>
        <v>0</v>
      </c>
      <c r="O51">
        <f>IF(J51="Assault",1,0)</f>
        <v>0</v>
      </c>
      <c r="P51">
        <f>IF($M51&lt;&gt;0,SUM($M$5:$M51),0)</f>
        <v>0</v>
      </c>
      <c r="Q51">
        <f>IF($N51&lt;&gt;0,SUM($N$5:$N51)+15,0)</f>
        <v>0</v>
      </c>
      <c r="R51">
        <f>IF($O51&lt;&gt;0,SUM($O$6:$O51)+30,0)</f>
        <v>0</v>
      </c>
      <c r="S51">
        <f t="shared" si="14"/>
        <v>0</v>
      </c>
      <c r="T51">
        <f t="shared" si="14"/>
        <v>0</v>
      </c>
      <c r="U51">
        <f t="shared" si="14"/>
        <v>0</v>
      </c>
      <c r="V51" s="17" t="e">
        <f>VLOOKUP($D51,UKdata!$A$2:$F$49,6,FALSE)</f>
        <v>#N/A</v>
      </c>
    </row>
    <row r="52" spans="1:22" ht="13.5" customHeight="1">
      <c r="A52" s="8">
        <f>IF(M52=1,"Ord"&amp;P52,IF(N52=1,"Ord"&amp;Q52,IF(O52=1,"Ord"&amp;R52,IF(I52&gt;0,"E",0))))</f>
        <v>0</v>
      </c>
      <c r="C52" s="3">
        <v>0</v>
      </c>
      <c r="D52" s="3" t="s">
        <v>189</v>
      </c>
      <c r="E52">
        <f>VLOOKUP($D52,UKdata!$A$2:$E$202,2,FALSE)</f>
        <v>0</v>
      </c>
      <c r="F52">
        <f>IF($C52="Reg-8",VLOOKUP($D52,UKdata!$A$2:$E$202,3,FALSE),0)</f>
        <v>0</v>
      </c>
      <c r="G52">
        <f>IF($C52="Exp-8",VLOOKUP($D52,UKdata!$A$2:$E$202,4,FALSE),0)</f>
        <v>0</v>
      </c>
      <c r="H52">
        <f>IF($C52="Vet-9",VLOOKUP($D52,UKdata!$A$2:$E$202,5,FALSE),0)</f>
        <v>0</v>
      </c>
      <c r="I52">
        <f t="shared" si="15"/>
        <v>0</v>
      </c>
      <c r="J52" s="3">
        <v>0</v>
      </c>
      <c r="K52">
        <f>VLOOKUP($D52,UKdata!$A$2:$F$202,6,FALSE)</f>
        <v>0</v>
      </c>
      <c r="M52">
        <f>IF(J52="Holding",1,0)</f>
        <v>0</v>
      </c>
      <c r="N52">
        <f>IF(J52="Reserve",1,0)</f>
        <v>0</v>
      </c>
      <c r="O52">
        <f>IF(J52="Assault",1,0)</f>
        <v>0</v>
      </c>
      <c r="P52">
        <f>IF($M52&lt;&gt;0,SUM($M$5:$M52),0)</f>
        <v>0</v>
      </c>
      <c r="Q52">
        <f>IF($N52&lt;&gt;0,SUM($N$5:$N52)+15,0)</f>
        <v>0</v>
      </c>
      <c r="R52">
        <f>IF($O52&lt;&gt;0,SUM($O$6:$O52)+30,0)</f>
        <v>0</v>
      </c>
      <c r="S52">
        <f t="shared" si="14"/>
        <v>0</v>
      </c>
      <c r="T52">
        <f t="shared" si="14"/>
        <v>0</v>
      </c>
      <c r="U52">
        <f t="shared" si="14"/>
        <v>0</v>
      </c>
      <c r="V52" s="17" t="e">
        <f>VLOOKUP($D52,UKdata!$A$2:$F$49,6,FALSE)</f>
        <v>#N/A</v>
      </c>
    </row>
    <row r="53" spans="1:22" ht="12.75">
      <c r="A53" s="8">
        <f t="shared" si="8"/>
        <v>0</v>
      </c>
      <c r="C53" s="3">
        <v>0</v>
      </c>
      <c r="D53" s="3" t="s">
        <v>211</v>
      </c>
      <c r="E53">
        <f>VLOOKUP($D53,UKdata!$A$2:$E$202,2,FALSE)</f>
        <v>0</v>
      </c>
      <c r="F53">
        <f>IF($C53="Reg-8",VLOOKUP($D53,UKdata!$A$2:$E$202,3,FALSE),0)</f>
        <v>0</v>
      </c>
      <c r="G53">
        <f>IF($C53="Exp-8",VLOOKUP($D53,UKdata!$A$2:$E$202,4,FALSE),0)</f>
        <v>0</v>
      </c>
      <c r="H53">
        <f>IF($C53="Vet-9",VLOOKUP($D53,UKdata!$A$2:$E$202,5,FALSE),0)</f>
        <v>0</v>
      </c>
      <c r="I53">
        <f t="shared" si="15"/>
        <v>0</v>
      </c>
      <c r="J53" s="3"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>IF($M53&lt;&gt;0,SUM($M$5:$M53),0)</f>
        <v>0</v>
      </c>
      <c r="Q53">
        <f>IF($N53&lt;&gt;0,SUM($N$5:$N53)+15,0)</f>
        <v>0</v>
      </c>
      <c r="R53">
        <f>IF($O53&lt;&gt;0,SUM($O$6:$O53)+30,0)</f>
        <v>0</v>
      </c>
      <c r="S53">
        <f t="shared" si="14"/>
        <v>0</v>
      </c>
      <c r="T53">
        <f t="shared" si="14"/>
        <v>0</v>
      </c>
      <c r="U53">
        <f t="shared" si="14"/>
        <v>0</v>
      </c>
      <c r="V53" s="17"/>
    </row>
    <row r="54" spans="1:22" ht="12.75">
      <c r="A54" s="8">
        <f t="shared" si="8"/>
        <v>0</v>
      </c>
      <c r="C54" s="3">
        <v>0</v>
      </c>
      <c r="D54" s="3" t="s">
        <v>212</v>
      </c>
      <c r="E54">
        <f>VLOOKUP($D54,UKdata!$A$2:$E$202,2,FALSE)</f>
        <v>0</v>
      </c>
      <c r="F54">
        <f>IF($C54="Reg-8",VLOOKUP($D54,UKdata!$A$2:$E$49,3,FALSE),0)</f>
        <v>0</v>
      </c>
      <c r="G54">
        <f>IF($C54="Exp-8",VLOOKUP($D54,UKdata!$A$2:$E$49,4,FALSE),0)</f>
        <v>0</v>
      </c>
      <c r="H54">
        <f>IF($C54="Vet-9",VLOOKUP($D54,UKdata!$A$2:$E$202,5,FALSE),0)</f>
        <v>0</v>
      </c>
      <c r="I54">
        <f>SUM(F54:H54)</f>
        <v>0</v>
      </c>
      <c r="J54" s="3"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>IF($M54&lt;&gt;0,SUM($M$5:$M54),0)</f>
        <v>0</v>
      </c>
      <c r="Q54">
        <f>IF($N54&lt;&gt;0,SUM($N$5:$N54)+15,0)</f>
        <v>0</v>
      </c>
      <c r="R54">
        <f>IF($O54&lt;&gt;0,SUM($O$6:$O54)+30,0)</f>
        <v>0</v>
      </c>
      <c r="S54">
        <f t="shared" si="14"/>
        <v>0</v>
      </c>
      <c r="T54">
        <f t="shared" si="14"/>
        <v>0</v>
      </c>
      <c r="U54">
        <f t="shared" si="14"/>
        <v>0</v>
      </c>
      <c r="V54" s="17"/>
    </row>
    <row r="55" spans="3:22" ht="12.75">
      <c r="C55" s="3">
        <v>0</v>
      </c>
      <c r="D55" s="3" t="s">
        <v>200</v>
      </c>
      <c r="E55">
        <f>VLOOKUP($D55,UKdata!$A$2:$E$202,2,FALSE)</f>
        <v>0</v>
      </c>
      <c r="F55">
        <f>IF($C55="Reg-8",VLOOKUP($D55,UKdata!$A$2:$E$202,3,FALSE),0)</f>
        <v>0</v>
      </c>
      <c r="G55">
        <f>IF($C55="Exp-8",VLOOKUP($D55,UKdata!$A$2:$E$202,4,FALSE),0)</f>
        <v>0</v>
      </c>
      <c r="H55">
        <f>IF($C55="Vet-9",VLOOKUP($D55,UKdata!$A$2:$E$202,5,FALSE),0)</f>
        <v>0</v>
      </c>
      <c r="I55">
        <f>SUM(F55:H55)</f>
        <v>0</v>
      </c>
      <c r="J55" s="3"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>IF($M55&lt;&gt;0,SUM($M$5:$M55),0)</f>
        <v>0</v>
      </c>
      <c r="Q55">
        <f>IF($N55&lt;&gt;0,SUM($N$5:$N55)+15,0)</f>
        <v>0</v>
      </c>
      <c r="R55">
        <f>IF($O55&lt;&gt;0,SUM($O$6:$O55)+30,0)</f>
        <v>0</v>
      </c>
      <c r="S55">
        <f t="shared" si="14"/>
        <v>0</v>
      </c>
      <c r="T55">
        <f t="shared" si="14"/>
        <v>0</v>
      </c>
      <c r="U55">
        <f t="shared" si="14"/>
        <v>0</v>
      </c>
      <c r="V55" s="17"/>
    </row>
    <row r="56" spans="1:22" ht="15.75" hidden="1">
      <c r="A56" s="8" t="s">
        <v>26</v>
      </c>
      <c r="C56">
        <v>0</v>
      </c>
      <c r="D56" s="11">
        <f>IF(SUM(K15:K55)&lt;-1,"Error - Dedicated arty limited to HQ units",0)</f>
        <v>0</v>
      </c>
      <c r="J56"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>IF($M56&lt;&gt;0,SUM($M$5:$M56),0)</f>
        <v>0</v>
      </c>
      <c r="Q56">
        <f>IF($N56&lt;&gt;0,SUM($N$5:$N56)+15,0)</f>
        <v>0</v>
      </c>
      <c r="R56">
        <f>IF($O56&lt;&gt;0,SUM($O$6:$O56)+30,0)</f>
        <v>0</v>
      </c>
      <c r="S56">
        <f t="shared" si="14"/>
        <v>0</v>
      </c>
      <c r="T56">
        <f t="shared" si="14"/>
        <v>0</v>
      </c>
      <c r="U56">
        <f t="shared" si="14"/>
        <v>0</v>
      </c>
      <c r="V56" s="17"/>
    </row>
    <row r="57" spans="1:22" ht="12.75" hidden="1">
      <c r="A57" s="8" t="s">
        <v>27</v>
      </c>
      <c r="C57">
        <v>0</v>
      </c>
      <c r="J57"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>IF($M57&lt;&gt;0,SUM($M$5:$M57),0)</f>
        <v>0</v>
      </c>
      <c r="Q57">
        <f>IF($N57&lt;&gt;0,SUM($N$5:$N57)+15,0)</f>
        <v>0</v>
      </c>
      <c r="R57">
        <f>IF($O57&lt;&gt;0,SUM($O$6:$O57)+30,0)</f>
        <v>0</v>
      </c>
      <c r="S57">
        <f t="shared" si="14"/>
        <v>0</v>
      </c>
      <c r="T57">
        <f t="shared" si="14"/>
        <v>0</v>
      </c>
      <c r="U57">
        <f t="shared" si="14"/>
        <v>0</v>
      </c>
      <c r="V57" s="17"/>
    </row>
    <row r="58" spans="1:22" ht="16.5" customHeight="1" hidden="1">
      <c r="A58" s="8" t="s">
        <v>28</v>
      </c>
      <c r="J58"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>IF($M58&lt;&gt;0,SUM($M$5:$M58),0)</f>
        <v>0</v>
      </c>
      <c r="Q58">
        <f>IF($N58&lt;&gt;0,SUM($N$5:$N58)+15,0)</f>
        <v>0</v>
      </c>
      <c r="R58">
        <f>IF($O58&lt;&gt;0,SUM($O$6:$O58)+30,0)</f>
        <v>0</v>
      </c>
      <c r="S58">
        <f t="shared" si="14"/>
        <v>0</v>
      </c>
      <c r="T58">
        <f t="shared" si="14"/>
        <v>0</v>
      </c>
      <c r="U58">
        <f t="shared" si="14"/>
        <v>0</v>
      </c>
      <c r="V58" s="17"/>
    </row>
    <row r="59" spans="1:22" ht="16.5" customHeight="1" hidden="1">
      <c r="A59" s="8" t="s">
        <v>29</v>
      </c>
      <c r="J59">
        <v>0</v>
      </c>
      <c r="V59" s="17"/>
    </row>
    <row r="60" spans="1:22" ht="16.5" customHeight="1" hidden="1">
      <c r="A60" s="8" t="s">
        <v>30</v>
      </c>
      <c r="J60">
        <v>0</v>
      </c>
      <c r="V60" s="17"/>
    </row>
    <row r="61" spans="1:22" ht="16.5" customHeight="1" hidden="1">
      <c r="A61" s="8" t="s">
        <v>31</v>
      </c>
      <c r="J61">
        <v>0</v>
      </c>
      <c r="V61" s="17"/>
    </row>
    <row r="62" spans="1:22" ht="16.5" customHeight="1" hidden="1">
      <c r="A62" s="8" t="s">
        <v>32</v>
      </c>
      <c r="J62">
        <v>0</v>
      </c>
      <c r="V62" s="17"/>
    </row>
    <row r="63" spans="1:22" ht="16.5" customHeight="1" hidden="1">
      <c r="A63" s="8" t="s">
        <v>33</v>
      </c>
      <c r="J63">
        <v>0</v>
      </c>
      <c r="V63" s="17"/>
    </row>
    <row r="64" spans="1:22" ht="16.5" customHeight="1" hidden="1">
      <c r="A64" s="8" t="s">
        <v>34</v>
      </c>
      <c r="J64">
        <v>0</v>
      </c>
      <c r="V64" s="17"/>
    </row>
    <row r="65" spans="1:22" ht="16.5" customHeight="1" hidden="1">
      <c r="A65" s="8" t="s">
        <v>25</v>
      </c>
      <c r="J65">
        <v>0</v>
      </c>
      <c r="V65" s="17"/>
    </row>
    <row r="66" spans="1:22" ht="16.5" customHeight="1" hidden="1">
      <c r="A66" s="8" t="s">
        <v>24</v>
      </c>
      <c r="J66">
        <v>0</v>
      </c>
      <c r="V66" s="17"/>
    </row>
    <row r="67" spans="1:22" ht="16.5" customHeight="1" hidden="1">
      <c r="A67" s="8" t="s">
        <v>23</v>
      </c>
      <c r="J67">
        <v>0</v>
      </c>
      <c r="V67" s="17"/>
    </row>
    <row r="68" spans="1:22" ht="16.5" customHeight="1" hidden="1">
      <c r="A68" s="8" t="s">
        <v>22</v>
      </c>
      <c r="J68">
        <v>0</v>
      </c>
      <c r="V68" s="17"/>
    </row>
    <row r="69" spans="1:22" ht="16.5" customHeight="1" hidden="1">
      <c r="A69" s="8" t="s">
        <v>21</v>
      </c>
      <c r="V69" s="17"/>
    </row>
    <row r="70" spans="1:22" ht="16.5" customHeight="1" hidden="1">
      <c r="A70" s="8" t="s">
        <v>20</v>
      </c>
      <c r="V70" s="17"/>
    </row>
    <row r="71" spans="1:22" ht="16.5" customHeight="1" hidden="1">
      <c r="A71" s="8" t="s">
        <v>35</v>
      </c>
      <c r="V71" s="17"/>
    </row>
    <row r="72" spans="1:22" ht="16.5" customHeight="1" hidden="1">
      <c r="A72" s="8" t="s">
        <v>36</v>
      </c>
      <c r="V72" s="17"/>
    </row>
    <row r="73" spans="1:22" ht="16.5" customHeight="1" hidden="1">
      <c r="A73" s="8" t="s">
        <v>37</v>
      </c>
      <c r="V73" s="17"/>
    </row>
    <row r="74" spans="1:22" ht="16.5" customHeight="1" hidden="1">
      <c r="A74" s="8" t="s">
        <v>38</v>
      </c>
      <c r="V74" s="17"/>
    </row>
    <row r="75" spans="1:22" ht="16.5" customHeight="1" hidden="1">
      <c r="A75" s="8" t="s">
        <v>39</v>
      </c>
      <c r="V75" s="17"/>
    </row>
    <row r="76" spans="1:22" ht="16.5" customHeight="1" hidden="1">
      <c r="A76" s="8" t="s">
        <v>46</v>
      </c>
      <c r="V76" s="17"/>
    </row>
    <row r="77" spans="1:22" ht="16.5" customHeight="1" hidden="1">
      <c r="A77" s="8" t="s">
        <v>47</v>
      </c>
      <c r="V77" s="17"/>
    </row>
    <row r="78" spans="1:22" ht="16.5" customHeight="1" hidden="1">
      <c r="A78" s="8" t="s">
        <v>48</v>
      </c>
      <c r="V78" s="17"/>
    </row>
    <row r="79" spans="1:22" ht="16.5" customHeight="1" hidden="1">
      <c r="A79" s="8" t="s">
        <v>49</v>
      </c>
      <c r="V79" s="17"/>
    </row>
    <row r="80" spans="1:22" ht="16.5" customHeight="1" hidden="1">
      <c r="A80" s="8" t="s">
        <v>50</v>
      </c>
      <c r="V80" s="17"/>
    </row>
    <row r="81" spans="1:22" ht="16.5" customHeight="1" hidden="1">
      <c r="A81" s="8" t="s">
        <v>51</v>
      </c>
      <c r="V81" s="17"/>
    </row>
    <row r="82" spans="1:22" ht="16.5" customHeight="1" hidden="1">
      <c r="A82" s="8" t="s">
        <v>52</v>
      </c>
      <c r="V82" s="17"/>
    </row>
    <row r="83" spans="1:22" ht="16.5" customHeight="1" hidden="1">
      <c r="A83" s="8" t="s">
        <v>53</v>
      </c>
      <c r="V83" s="17"/>
    </row>
    <row r="84" spans="1:22" ht="16.5" customHeight="1" hidden="1">
      <c r="A84" s="8" t="s">
        <v>54</v>
      </c>
      <c r="V84" s="17"/>
    </row>
    <row r="85" spans="1:22" ht="16.5" customHeight="1" hidden="1">
      <c r="A85" s="8" t="s">
        <v>55</v>
      </c>
      <c r="V85" s="17"/>
    </row>
    <row r="86" spans="1:22" ht="16.5" customHeight="1" hidden="1">
      <c r="A86" s="8" t="s">
        <v>64</v>
      </c>
      <c r="V86" s="17"/>
    </row>
    <row r="87" spans="1:22" ht="16.5" customHeight="1" hidden="1">
      <c r="A87" s="8" t="s">
        <v>65</v>
      </c>
      <c r="V87" s="17"/>
    </row>
    <row r="88" spans="1:22" ht="16.5" customHeight="1" hidden="1">
      <c r="A88" s="8" t="s">
        <v>66</v>
      </c>
      <c r="V88" s="17"/>
    </row>
    <row r="89" spans="1:22" ht="16.5" customHeight="1" hidden="1">
      <c r="A89" s="8" t="s">
        <v>67</v>
      </c>
      <c r="V89" s="17"/>
    </row>
    <row r="90" spans="1:22" ht="16.5" customHeight="1" hidden="1">
      <c r="A90" s="8" t="s">
        <v>68</v>
      </c>
      <c r="V90" s="17"/>
    </row>
    <row r="91" spans="1:22" ht="16.5" customHeight="1" hidden="1">
      <c r="A91" s="8" t="s">
        <v>69</v>
      </c>
      <c r="V91" s="17"/>
    </row>
    <row r="92" spans="1:22" ht="16.5" customHeight="1" hidden="1">
      <c r="A92" s="8" t="s">
        <v>70</v>
      </c>
      <c r="V92" s="17"/>
    </row>
    <row r="93" spans="1:22" ht="16.5" customHeight="1" hidden="1">
      <c r="A93" s="8" t="s">
        <v>71</v>
      </c>
      <c r="V93" s="17"/>
    </row>
    <row r="94" spans="1:22" ht="16.5" customHeight="1" hidden="1">
      <c r="A94" s="8" t="s">
        <v>72</v>
      </c>
      <c r="V94" s="17"/>
    </row>
    <row r="95" spans="1:22" ht="16.5" customHeight="1" hidden="1">
      <c r="A95" s="8" t="s">
        <v>73</v>
      </c>
      <c r="V95" s="17"/>
    </row>
    <row r="96" spans="1:22" ht="16.5" customHeight="1" hidden="1">
      <c r="A96" s="8" t="s">
        <v>74</v>
      </c>
      <c r="V96" s="17"/>
    </row>
    <row r="97" spans="1:22" ht="16.5" customHeight="1" hidden="1">
      <c r="A97" s="8" t="s">
        <v>75</v>
      </c>
      <c r="V97" s="17"/>
    </row>
    <row r="98" spans="1:22" ht="16.5" customHeight="1" hidden="1">
      <c r="A98" s="8" t="s">
        <v>76</v>
      </c>
      <c r="V98" s="17"/>
    </row>
    <row r="99" spans="1:22" ht="16.5" customHeight="1" hidden="1">
      <c r="A99" s="8" t="s">
        <v>77</v>
      </c>
      <c r="V99" s="17"/>
    </row>
    <row r="100" spans="1:22" ht="16.5" customHeight="1" hidden="1">
      <c r="A100" s="8" t="s">
        <v>78</v>
      </c>
      <c r="V100" s="17"/>
    </row>
    <row r="101" spans="1:22" ht="16.5" customHeight="1" hidden="1">
      <c r="A101" s="8" t="s">
        <v>79</v>
      </c>
      <c r="V101" s="17"/>
    </row>
    <row r="102" spans="1:22" ht="16.5" customHeight="1" hidden="1">
      <c r="A102" s="8" t="s">
        <v>80</v>
      </c>
      <c r="V102" s="17"/>
    </row>
    <row r="103" spans="1:22" ht="16.5" customHeight="1">
      <c r="A103" s="8" t="s">
        <v>81</v>
      </c>
      <c r="V103" s="17"/>
    </row>
    <row r="104" spans="3:22" ht="16.5" customHeight="1">
      <c r="C104" s="21" t="s">
        <v>82</v>
      </c>
      <c r="V104" s="17"/>
    </row>
    <row r="105" spans="4:22" ht="18">
      <c r="D105" s="26" t="s">
        <v>43</v>
      </c>
      <c r="V105" s="17"/>
    </row>
    <row r="106" spans="1:22" ht="12.75">
      <c r="A106" s="8" t="s">
        <v>20</v>
      </c>
      <c r="C106">
        <f aca="true" t="shared" si="16" ref="C106:C120">VLOOKUP($A106,$A$2:$E$104,3,FALSE)</f>
        <v>0</v>
      </c>
      <c r="D106">
        <f aca="true" t="shared" si="17" ref="D106:D120">VLOOKUP($A106,$A$2:$E$104,4,FALSE)</f>
        <v>0</v>
      </c>
      <c r="E106">
        <f aca="true" t="shared" si="18" ref="E106:E120">VLOOKUP($A106,$A$2:$E$104,5,FALSE)</f>
        <v>0</v>
      </c>
      <c r="V106" s="17"/>
    </row>
    <row r="107" spans="1:22" ht="12.75">
      <c r="A107" s="8" t="s">
        <v>21</v>
      </c>
      <c r="C107" t="str">
        <f t="shared" si="16"/>
        <v>Exp-9</v>
      </c>
      <c r="D107" t="str">
        <f t="shared" si="17"/>
        <v>HQ:</v>
      </c>
      <c r="E107" t="str">
        <f t="shared" si="18"/>
        <v>Batt HQ: Cmd, car</v>
      </c>
      <c r="V107" s="17"/>
    </row>
    <row r="108" spans="1:22" ht="12.75">
      <c r="A108" s="8" t="s">
        <v>22</v>
      </c>
      <c r="C108">
        <f t="shared" si="16"/>
        <v>0</v>
      </c>
      <c r="D108" t="str">
        <f t="shared" si="17"/>
        <v>Batt HQCo</v>
      </c>
      <c r="E108" t="str">
        <f t="shared" si="18"/>
        <v>3" Mortar, LMG stand, 1 Engineer, 3 light trucks</v>
      </c>
      <c r="V108" s="17"/>
    </row>
    <row r="109" spans="1:22" ht="12.75">
      <c r="A109" s="8" t="s">
        <v>23</v>
      </c>
      <c r="C109">
        <f t="shared" si="16"/>
        <v>0</v>
      </c>
      <c r="D109" t="str">
        <f t="shared" si="17"/>
        <v>Reinforced Infantry co</v>
      </c>
      <c r="E109" t="str">
        <f t="shared" si="18"/>
        <v>Cmd/Inf/Piat stand, 2 Rifle stands</v>
      </c>
      <c r="V109" s="17"/>
    </row>
    <row r="110" spans="1:22" ht="12.75">
      <c r="A110" s="8" t="s">
        <v>24</v>
      </c>
      <c r="C110">
        <f t="shared" si="16"/>
        <v>0</v>
      </c>
      <c r="D110" t="str">
        <f t="shared" si="17"/>
        <v>Reinforced Infantry co</v>
      </c>
      <c r="E110" t="str">
        <f t="shared" si="18"/>
        <v>Cmd/Inf/Piat stand, 2 Rifle stands</v>
      </c>
      <c r="V110" s="17"/>
    </row>
    <row r="111" spans="1:22" ht="12.75">
      <c r="A111" s="8" t="s">
        <v>25</v>
      </c>
      <c r="C111">
        <f t="shared" si="16"/>
        <v>0</v>
      </c>
      <c r="D111" t="str">
        <f t="shared" si="17"/>
        <v>Reinforced Infantry co</v>
      </c>
      <c r="E111" t="str">
        <f t="shared" si="18"/>
        <v>Cmd/Inf/Piat stand, 2 Rifle stands</v>
      </c>
      <c r="V111" s="17"/>
    </row>
    <row r="112" spans="1:22" ht="12.75">
      <c r="A112" s="8" t="s">
        <v>26</v>
      </c>
      <c r="C112">
        <f t="shared" si="16"/>
        <v>0</v>
      </c>
      <c r="D112" t="str">
        <f t="shared" si="17"/>
        <v>AT platoon</v>
      </c>
      <c r="E112" t="str">
        <f t="shared" si="18"/>
        <v>1 37mm Bofors AT gun portee</v>
      </c>
      <c r="V112" s="17"/>
    </row>
    <row r="113" spans="1:22" ht="12.75">
      <c r="A113" s="8" t="s">
        <v>27</v>
      </c>
      <c r="C113">
        <f t="shared" si="16"/>
        <v>0</v>
      </c>
      <c r="D113">
        <f t="shared" si="17"/>
        <v>0</v>
      </c>
      <c r="E113">
        <f t="shared" si="18"/>
        <v>0</v>
      </c>
      <c r="V113" s="17"/>
    </row>
    <row r="114" spans="1:22" ht="12.75">
      <c r="A114" s="8" t="s">
        <v>28</v>
      </c>
      <c r="C114">
        <f t="shared" si="16"/>
        <v>0</v>
      </c>
      <c r="D114">
        <f t="shared" si="17"/>
        <v>0</v>
      </c>
      <c r="E114">
        <f t="shared" si="18"/>
        <v>0</v>
      </c>
      <c r="V114" s="17"/>
    </row>
    <row r="115" spans="1:22" ht="12.75">
      <c r="A115" s="8" t="s">
        <v>29</v>
      </c>
      <c r="C115">
        <f t="shared" si="16"/>
        <v>0</v>
      </c>
      <c r="D115">
        <f t="shared" si="17"/>
        <v>0</v>
      </c>
      <c r="E115">
        <f t="shared" si="18"/>
        <v>0</v>
      </c>
      <c r="V115" s="17"/>
    </row>
    <row r="116" spans="1:22" ht="12.75">
      <c r="A116" s="8" t="s">
        <v>30</v>
      </c>
      <c r="C116">
        <f t="shared" si="16"/>
        <v>0</v>
      </c>
      <c r="D116">
        <f t="shared" si="17"/>
        <v>0</v>
      </c>
      <c r="E116">
        <f t="shared" si="18"/>
        <v>0</v>
      </c>
      <c r="V116" s="17"/>
    </row>
    <row r="117" spans="1:22" ht="12.75">
      <c r="A117" s="8" t="s">
        <v>31</v>
      </c>
      <c r="C117">
        <f t="shared" si="16"/>
        <v>0</v>
      </c>
      <c r="D117">
        <f t="shared" si="17"/>
        <v>0</v>
      </c>
      <c r="E117">
        <f t="shared" si="18"/>
        <v>0</v>
      </c>
      <c r="V117" s="17"/>
    </row>
    <row r="118" spans="1:22" ht="12.75">
      <c r="A118" s="8" t="s">
        <v>32</v>
      </c>
      <c r="C118">
        <f t="shared" si="16"/>
        <v>0</v>
      </c>
      <c r="D118">
        <f t="shared" si="17"/>
        <v>0</v>
      </c>
      <c r="E118">
        <f t="shared" si="18"/>
        <v>0</v>
      </c>
      <c r="V118" s="17"/>
    </row>
    <row r="119" spans="1:22" ht="12.75">
      <c r="A119" s="8" t="s">
        <v>33</v>
      </c>
      <c r="C119">
        <f t="shared" si="16"/>
        <v>0</v>
      </c>
      <c r="D119">
        <f t="shared" si="17"/>
        <v>0</v>
      </c>
      <c r="E119">
        <f t="shared" si="18"/>
        <v>0</v>
      </c>
      <c r="V119" s="17"/>
    </row>
    <row r="120" spans="1:22" ht="12.75">
      <c r="A120" s="8" t="s">
        <v>34</v>
      </c>
      <c r="C120">
        <f t="shared" si="16"/>
        <v>0</v>
      </c>
      <c r="D120">
        <f t="shared" si="17"/>
        <v>0</v>
      </c>
      <c r="E120">
        <f t="shared" si="18"/>
        <v>0</v>
      </c>
      <c r="V120" s="17"/>
    </row>
    <row r="121" spans="4:22" ht="18">
      <c r="D121" s="26" t="s">
        <v>44</v>
      </c>
      <c r="V121" s="17"/>
    </row>
    <row r="122" spans="1:5" ht="12.75">
      <c r="A122" s="8" t="s">
        <v>35</v>
      </c>
      <c r="C122">
        <f aca="true" t="shared" si="19" ref="C122:C136">VLOOKUP($A122,$A$2:$E$104,3,FALSE)</f>
        <v>0</v>
      </c>
      <c r="D122">
        <f aca="true" t="shared" si="20" ref="D122:D136">VLOOKUP($A122,$A$2:$E$104,4,FALSE)</f>
        <v>0</v>
      </c>
      <c r="E122">
        <f aca="true" t="shared" si="21" ref="E122:E136">VLOOKUP($A122,$A$2:$E$104,5,FALSE)</f>
        <v>0</v>
      </c>
    </row>
    <row r="123" spans="1:5" ht="12.75">
      <c r="A123" s="8" t="s">
        <v>36</v>
      </c>
      <c r="C123">
        <f t="shared" si="19"/>
        <v>0</v>
      </c>
      <c r="D123">
        <f t="shared" si="20"/>
        <v>0</v>
      </c>
      <c r="E123">
        <f t="shared" si="21"/>
        <v>0</v>
      </c>
    </row>
    <row r="124" spans="1:5" ht="12.75">
      <c r="A124" s="8" t="s">
        <v>37</v>
      </c>
      <c r="C124">
        <f t="shared" si="19"/>
        <v>0</v>
      </c>
      <c r="D124">
        <f t="shared" si="20"/>
        <v>0</v>
      </c>
      <c r="E124">
        <f t="shared" si="21"/>
        <v>0</v>
      </c>
    </row>
    <row r="125" spans="1:5" ht="12.75">
      <c r="A125" s="8" t="s">
        <v>38</v>
      </c>
      <c r="C125">
        <f t="shared" si="19"/>
        <v>0</v>
      </c>
      <c r="D125">
        <f t="shared" si="20"/>
        <v>0</v>
      </c>
      <c r="E125">
        <f t="shared" si="21"/>
        <v>0</v>
      </c>
    </row>
    <row r="126" spans="1:5" ht="12.75">
      <c r="A126" s="8" t="s">
        <v>39</v>
      </c>
      <c r="C126">
        <f t="shared" si="19"/>
        <v>0</v>
      </c>
      <c r="D126">
        <f t="shared" si="20"/>
        <v>0</v>
      </c>
      <c r="E126">
        <f t="shared" si="21"/>
        <v>0</v>
      </c>
    </row>
    <row r="127" spans="1:5" ht="12.75">
      <c r="A127" s="8" t="s">
        <v>46</v>
      </c>
      <c r="C127">
        <f t="shared" si="19"/>
        <v>0</v>
      </c>
      <c r="D127">
        <f t="shared" si="20"/>
        <v>0</v>
      </c>
      <c r="E127">
        <f t="shared" si="21"/>
        <v>0</v>
      </c>
    </row>
    <row r="128" spans="1:5" ht="12.75">
      <c r="A128" s="8" t="s">
        <v>47</v>
      </c>
      <c r="C128">
        <f t="shared" si="19"/>
        <v>0</v>
      </c>
      <c r="D128">
        <f t="shared" si="20"/>
        <v>0</v>
      </c>
      <c r="E128">
        <f t="shared" si="21"/>
        <v>0</v>
      </c>
    </row>
    <row r="129" spans="1:5" ht="12.75">
      <c r="A129" s="8" t="s">
        <v>48</v>
      </c>
      <c r="C129">
        <f t="shared" si="19"/>
        <v>0</v>
      </c>
      <c r="D129">
        <f t="shared" si="20"/>
        <v>0</v>
      </c>
      <c r="E129">
        <f t="shared" si="21"/>
        <v>0</v>
      </c>
    </row>
    <row r="130" spans="1:5" ht="12.75">
      <c r="A130" s="8" t="s">
        <v>49</v>
      </c>
      <c r="C130">
        <f t="shared" si="19"/>
        <v>0</v>
      </c>
      <c r="D130">
        <f t="shared" si="20"/>
        <v>0</v>
      </c>
      <c r="E130">
        <f t="shared" si="21"/>
        <v>0</v>
      </c>
    </row>
    <row r="131" spans="1:5" ht="12.75">
      <c r="A131" s="8" t="s">
        <v>50</v>
      </c>
      <c r="C131">
        <f t="shared" si="19"/>
        <v>0</v>
      </c>
      <c r="D131">
        <f t="shared" si="20"/>
        <v>0</v>
      </c>
      <c r="E131">
        <f t="shared" si="21"/>
        <v>0</v>
      </c>
    </row>
    <row r="132" spans="1:5" ht="12.75">
      <c r="A132" s="8" t="s">
        <v>51</v>
      </c>
      <c r="C132">
        <f t="shared" si="19"/>
        <v>0</v>
      </c>
      <c r="D132">
        <f t="shared" si="20"/>
        <v>0</v>
      </c>
      <c r="E132">
        <f t="shared" si="21"/>
        <v>0</v>
      </c>
    </row>
    <row r="133" spans="1:5" ht="12.75">
      <c r="A133" s="8" t="s">
        <v>52</v>
      </c>
      <c r="C133">
        <f t="shared" si="19"/>
        <v>0</v>
      </c>
      <c r="D133">
        <f t="shared" si="20"/>
        <v>0</v>
      </c>
      <c r="E133">
        <f t="shared" si="21"/>
        <v>0</v>
      </c>
    </row>
    <row r="134" spans="1:5" ht="12.75">
      <c r="A134" s="8" t="s">
        <v>53</v>
      </c>
      <c r="C134">
        <f t="shared" si="19"/>
        <v>0</v>
      </c>
      <c r="D134">
        <f t="shared" si="20"/>
        <v>0</v>
      </c>
      <c r="E134">
        <f t="shared" si="21"/>
        <v>0</v>
      </c>
    </row>
    <row r="135" spans="1:5" ht="12.75">
      <c r="A135" s="8" t="s">
        <v>54</v>
      </c>
      <c r="C135">
        <f t="shared" si="19"/>
        <v>0</v>
      </c>
      <c r="D135">
        <f t="shared" si="20"/>
        <v>0</v>
      </c>
      <c r="E135">
        <f t="shared" si="21"/>
        <v>0</v>
      </c>
    </row>
    <row r="136" spans="1:5" ht="12.75">
      <c r="A136" s="8" t="s">
        <v>55</v>
      </c>
      <c r="C136">
        <f t="shared" si="19"/>
        <v>0</v>
      </c>
      <c r="D136">
        <f t="shared" si="20"/>
        <v>0</v>
      </c>
      <c r="E136">
        <f t="shared" si="21"/>
        <v>0</v>
      </c>
    </row>
    <row r="137" ht="18">
      <c r="D137" s="26" t="s">
        <v>45</v>
      </c>
    </row>
    <row r="138" spans="1:5" ht="12.75">
      <c r="A138" s="8" t="s">
        <v>64</v>
      </c>
      <c r="C138">
        <f aca="true" t="shared" si="22" ref="C138:C152">VLOOKUP($A138,$A$2:$E$104,3,FALSE)</f>
        <v>0</v>
      </c>
      <c r="D138">
        <f aca="true" t="shared" si="23" ref="D138:D152">VLOOKUP($A138,$A$2:$E$104,4,FALSE)</f>
        <v>0</v>
      </c>
      <c r="E138">
        <f aca="true" t="shared" si="24" ref="E138:E152">VLOOKUP($A138,$A$2:$E$104,5,FALSE)</f>
        <v>0</v>
      </c>
    </row>
    <row r="139" spans="1:5" ht="12.75">
      <c r="A139" s="8" t="s">
        <v>65</v>
      </c>
      <c r="C139">
        <f t="shared" si="22"/>
        <v>0</v>
      </c>
      <c r="D139">
        <f t="shared" si="23"/>
        <v>0</v>
      </c>
      <c r="E139">
        <f t="shared" si="24"/>
        <v>0</v>
      </c>
    </row>
    <row r="140" spans="1:5" ht="12.75">
      <c r="A140" s="8" t="s">
        <v>66</v>
      </c>
      <c r="C140">
        <f t="shared" si="22"/>
        <v>0</v>
      </c>
      <c r="D140">
        <f t="shared" si="23"/>
        <v>0</v>
      </c>
      <c r="E140">
        <f t="shared" si="24"/>
        <v>0</v>
      </c>
    </row>
    <row r="141" spans="1:5" ht="12.75">
      <c r="A141" s="8" t="s">
        <v>67</v>
      </c>
      <c r="C141">
        <f t="shared" si="22"/>
        <v>0</v>
      </c>
      <c r="D141">
        <f t="shared" si="23"/>
        <v>0</v>
      </c>
      <c r="E141">
        <f t="shared" si="24"/>
        <v>0</v>
      </c>
    </row>
    <row r="142" spans="1:5" ht="12.75">
      <c r="A142" s="8" t="s">
        <v>68</v>
      </c>
      <c r="C142">
        <f t="shared" si="22"/>
        <v>0</v>
      </c>
      <c r="D142">
        <f t="shared" si="23"/>
        <v>0</v>
      </c>
      <c r="E142">
        <f t="shared" si="24"/>
        <v>0</v>
      </c>
    </row>
    <row r="143" spans="1:5" ht="12.75">
      <c r="A143" s="8" t="s">
        <v>69</v>
      </c>
      <c r="C143">
        <f t="shared" si="22"/>
        <v>0</v>
      </c>
      <c r="D143">
        <f t="shared" si="23"/>
        <v>0</v>
      </c>
      <c r="E143">
        <f t="shared" si="24"/>
        <v>0</v>
      </c>
    </row>
    <row r="144" spans="1:5" ht="12.75">
      <c r="A144" s="8" t="s">
        <v>70</v>
      </c>
      <c r="C144">
        <f t="shared" si="22"/>
        <v>0</v>
      </c>
      <c r="D144">
        <f t="shared" si="23"/>
        <v>0</v>
      </c>
      <c r="E144">
        <f t="shared" si="24"/>
        <v>0</v>
      </c>
    </row>
    <row r="145" spans="1:5" ht="12.75">
      <c r="A145" s="8" t="s">
        <v>71</v>
      </c>
      <c r="C145">
        <f t="shared" si="22"/>
        <v>0</v>
      </c>
      <c r="D145">
        <f t="shared" si="23"/>
        <v>0</v>
      </c>
      <c r="E145">
        <f t="shared" si="24"/>
        <v>0</v>
      </c>
    </row>
    <row r="146" spans="1:5" ht="12.75">
      <c r="A146" s="8" t="s">
        <v>72</v>
      </c>
      <c r="C146">
        <f t="shared" si="22"/>
        <v>0</v>
      </c>
      <c r="D146">
        <f t="shared" si="23"/>
        <v>0</v>
      </c>
      <c r="E146">
        <f t="shared" si="24"/>
        <v>0</v>
      </c>
    </row>
    <row r="147" spans="1:5" ht="12.75">
      <c r="A147" s="8" t="s">
        <v>73</v>
      </c>
      <c r="C147">
        <f t="shared" si="22"/>
        <v>0</v>
      </c>
      <c r="D147">
        <f t="shared" si="23"/>
        <v>0</v>
      </c>
      <c r="E147">
        <f t="shared" si="24"/>
        <v>0</v>
      </c>
    </row>
    <row r="148" spans="1:5" ht="12.75">
      <c r="A148" s="8" t="s">
        <v>74</v>
      </c>
      <c r="C148">
        <f t="shared" si="22"/>
        <v>0</v>
      </c>
      <c r="D148">
        <f t="shared" si="23"/>
        <v>0</v>
      </c>
      <c r="E148">
        <f t="shared" si="24"/>
        <v>0</v>
      </c>
    </row>
    <row r="149" spans="1:5" ht="12.75">
      <c r="A149" s="8" t="s">
        <v>75</v>
      </c>
      <c r="C149">
        <f t="shared" si="22"/>
        <v>0</v>
      </c>
      <c r="D149">
        <f t="shared" si="23"/>
        <v>0</v>
      </c>
      <c r="E149">
        <f t="shared" si="24"/>
        <v>0</v>
      </c>
    </row>
    <row r="150" spans="1:5" ht="12.75">
      <c r="A150" s="8" t="s">
        <v>76</v>
      </c>
      <c r="C150">
        <f t="shared" si="22"/>
        <v>0</v>
      </c>
      <c r="D150">
        <f t="shared" si="23"/>
        <v>0</v>
      </c>
      <c r="E150">
        <f t="shared" si="24"/>
        <v>0</v>
      </c>
    </row>
    <row r="151" spans="1:5" ht="12.75">
      <c r="A151" s="8" t="s">
        <v>77</v>
      </c>
      <c r="C151">
        <f t="shared" si="22"/>
        <v>0</v>
      </c>
      <c r="D151">
        <f t="shared" si="23"/>
        <v>0</v>
      </c>
      <c r="E151">
        <f t="shared" si="24"/>
        <v>0</v>
      </c>
    </row>
    <row r="152" spans="1:5" ht="12.75">
      <c r="A152" s="8" t="s">
        <v>78</v>
      </c>
      <c r="C152">
        <f t="shared" si="22"/>
        <v>0</v>
      </c>
      <c r="D152">
        <f t="shared" si="23"/>
        <v>0</v>
      </c>
      <c r="E152">
        <f t="shared" si="24"/>
        <v>0</v>
      </c>
    </row>
  </sheetData>
  <dataValidations count="25">
    <dataValidation type="list" allowBlank="1" showInputMessage="1" showErrorMessage="1" sqref="D34">
      <formula1>aaco</formula1>
    </dataValidation>
    <dataValidation type="list" allowBlank="1" showInputMessage="1" showErrorMessage="1" sqref="D33">
      <formula1>mgco</formula1>
    </dataValidation>
    <dataValidation type="list" allowBlank="1" showInputMessage="1" showErrorMessage="1" sqref="D32">
      <formula1>engpl</formula1>
    </dataValidation>
    <dataValidation type="list" allowBlank="1" showInputMessage="1" showErrorMessage="1" sqref="D31">
      <formula1>engco</formula1>
    </dataValidation>
    <dataValidation type="list" allowBlank="1" showInputMessage="1" showErrorMessage="1" sqref="D38:D39">
      <formula1>tsq</formula1>
    </dataValidation>
    <dataValidation type="list" allowBlank="1" showInputMessage="1" showErrorMessage="1" sqref="D15">
      <formula1>batt2k</formula1>
    </dataValidation>
    <dataValidation type="list" allowBlank="1" showInputMessage="1" showErrorMessage="1" prompt="Select Force for entire Core Battle Group&#10;" sqref="J5">
      <formula1>hhh</formula1>
    </dataValidation>
    <dataValidation type="list" allowBlank="1" showInputMessage="1" showErrorMessage="1" sqref="D8:D10">
      <formula1>inco3</formula1>
    </dataValidation>
    <dataValidation type="list" allowBlank="1" showInputMessage="1" showErrorMessage="1" sqref="D14">
      <formula1>Brig</formula1>
    </dataValidation>
    <dataValidation type="list" allowBlank="1" showInputMessage="1" showErrorMessage="1" sqref="D18:D21">
      <formula1>inco</formula1>
    </dataValidation>
    <dataValidation type="list" allowBlank="1" showInputMessage="1" showErrorMessage="1" prompt="Max: 1 co per infantry co" sqref="D22">
      <formula1>trco</formula1>
    </dataValidation>
    <dataValidation type="list" allowBlank="1" showInputMessage="1" showErrorMessage="1" sqref="D23:D24">
      <formula1>ucar</formula1>
    </dataValidation>
    <dataValidation type="list" allowBlank="1" showInputMessage="1" showErrorMessage="1" sqref="D27:D28">
      <formula1>atb</formula1>
    </dataValidation>
    <dataValidation type="list" allowBlank="1" showInputMessage="1" showErrorMessage="1" sqref="D29:D30">
      <formula1>att</formula1>
    </dataValidation>
    <dataValidation type="list" allowBlank="1" showInputMessage="1" showErrorMessage="1" sqref="D37">
      <formula1>tbat</formula1>
    </dataValidation>
    <dataValidation type="list" allowBlank="1" showInputMessage="1" showErrorMessage="1" sqref="D40:D41">
      <formula1>tpl</formula1>
    </dataValidation>
    <dataValidation type="list" allowBlank="1" showInputMessage="1" showErrorMessage="1" sqref="C44 C27:C34 C37:C41 C15 C18:C24">
      <formula1>qu1</formula1>
    </dataValidation>
    <dataValidation type="list" allowBlank="1" showInputMessage="1" showErrorMessage="1" sqref="D44">
      <formula1>divcav</formula1>
    </dataValidation>
    <dataValidation type="list" allowBlank="1" showInputMessage="1" showErrorMessage="1" sqref="D55">
      <formula1>art5</formula1>
    </dataValidation>
    <dataValidation type="list" allowBlank="1" showInputMessage="1" showErrorMessage="1" sqref="D54">
      <formula1>art4</formula1>
    </dataValidation>
    <dataValidation type="list" allowBlank="1" showInputMessage="1" showErrorMessage="1" sqref="D53">
      <formula1>art3</formula1>
    </dataValidation>
    <dataValidation type="list" allowBlank="1" showInputMessage="1" showErrorMessage="1" sqref="D50:D52">
      <formula1>art2</formula1>
    </dataValidation>
    <dataValidation type="list" allowBlank="1" showInputMessage="1" showErrorMessage="1" sqref="D47:D49">
      <formula1>art1</formula1>
    </dataValidation>
    <dataValidation type="list" allowBlank="1" showInputMessage="1" showErrorMessage="1" prompt="&#10;" sqref="J47:J55 J27:J34 J14:J15 J18:J24 J37:J41 J44">
      <formula1>force</formula1>
    </dataValidation>
    <dataValidation type="list" allowBlank="1" showInputMessage="1" showErrorMessage="1" sqref="E5">
      <formula1>nzegr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M205"/>
  <sheetViews>
    <sheetView showZeros="0" workbookViewId="0" topLeftCell="C1">
      <selection activeCell="H2" sqref="H2:H4"/>
    </sheetView>
  </sheetViews>
  <sheetFormatPr defaultColWidth="9.140625" defaultRowHeight="12.75"/>
  <cols>
    <col min="1" max="1" width="35.421875" style="0" customWidth="1"/>
    <col min="2" max="2" width="54.28125" style="0" customWidth="1"/>
    <col min="3" max="3" width="11.140625" style="0" customWidth="1"/>
    <col min="4" max="4" width="12.28125" style="0" customWidth="1"/>
    <col min="5" max="5" width="17.7109375" style="0" customWidth="1"/>
    <col min="6" max="6" width="17.421875" style="0" customWidth="1"/>
    <col min="7" max="7" width="16.421875" style="0" customWidth="1"/>
  </cols>
  <sheetData>
    <row r="1" spans="1:12" ht="12.75">
      <c r="A1" t="s">
        <v>83</v>
      </c>
      <c r="H1" t="s">
        <v>345</v>
      </c>
      <c r="L1" t="s">
        <v>349</v>
      </c>
    </row>
    <row r="2" spans="1:7" ht="12.75">
      <c r="A2" t="s">
        <v>1</v>
      </c>
      <c r="C2">
        <v>280</v>
      </c>
      <c r="D2">
        <v>305</v>
      </c>
      <c r="E2" t="s">
        <v>1</v>
      </c>
      <c r="F2" t="s">
        <v>40</v>
      </c>
      <c r="G2">
        <v>320</v>
      </c>
    </row>
    <row r="3" spans="1:13" ht="12.75">
      <c r="A3" t="s">
        <v>2</v>
      </c>
      <c r="C3">
        <v>335</v>
      </c>
      <c r="D3">
        <v>360</v>
      </c>
      <c r="E3" t="s">
        <v>2</v>
      </c>
      <c r="F3" t="s">
        <v>41</v>
      </c>
      <c r="G3">
        <v>355</v>
      </c>
      <c r="H3" t="s">
        <v>346</v>
      </c>
      <c r="I3">
        <f>ROUND((C3+C4)/10,0)*5</f>
        <v>380</v>
      </c>
      <c r="L3" t="s">
        <v>350</v>
      </c>
      <c r="M3">
        <v>370</v>
      </c>
    </row>
    <row r="4" spans="1:13" ht="12.75">
      <c r="A4" t="s">
        <v>3</v>
      </c>
      <c r="C4">
        <v>425</v>
      </c>
      <c r="D4">
        <v>485</v>
      </c>
      <c r="E4" t="s">
        <v>3</v>
      </c>
      <c r="F4" t="s">
        <v>42</v>
      </c>
      <c r="G4">
        <v>415</v>
      </c>
      <c r="H4" t="s">
        <v>347</v>
      </c>
      <c r="I4">
        <v>610</v>
      </c>
      <c r="L4" t="s">
        <v>348</v>
      </c>
      <c r="M4">
        <v>580</v>
      </c>
    </row>
    <row r="6" spans="1:10" ht="12.75">
      <c r="A6" t="s">
        <v>84</v>
      </c>
      <c r="H6" t="s">
        <v>351</v>
      </c>
      <c r="J6" t="s">
        <v>352</v>
      </c>
    </row>
    <row r="7" spans="1:11" ht="12.75">
      <c r="A7" t="s">
        <v>89</v>
      </c>
      <c r="B7" t="s">
        <v>111</v>
      </c>
      <c r="C7">
        <v>40</v>
      </c>
      <c r="D7">
        <v>50</v>
      </c>
      <c r="E7">
        <v>65</v>
      </c>
      <c r="H7">
        <v>60</v>
      </c>
      <c r="I7">
        <v>85</v>
      </c>
      <c r="J7">
        <v>55</v>
      </c>
      <c r="K7">
        <v>75</v>
      </c>
    </row>
    <row r="8" spans="1:11" ht="12.75">
      <c r="A8" t="s">
        <v>113</v>
      </c>
      <c r="B8" t="s">
        <v>114</v>
      </c>
      <c r="C8">
        <v>45</v>
      </c>
      <c r="D8">
        <v>55</v>
      </c>
      <c r="E8">
        <v>70</v>
      </c>
      <c r="H8">
        <v>65</v>
      </c>
      <c r="I8">
        <v>90</v>
      </c>
      <c r="J8">
        <v>60</v>
      </c>
      <c r="K8">
        <v>80</v>
      </c>
    </row>
    <row r="9" spans="1:11" ht="12.75">
      <c r="A9" t="s">
        <v>90</v>
      </c>
      <c r="B9" t="s">
        <v>112</v>
      </c>
      <c r="C9">
        <v>55</v>
      </c>
      <c r="D9">
        <v>70</v>
      </c>
      <c r="E9">
        <v>90</v>
      </c>
      <c r="H9">
        <v>80</v>
      </c>
      <c r="I9">
        <v>115</v>
      </c>
      <c r="J9">
        <v>75</v>
      </c>
      <c r="K9">
        <v>100</v>
      </c>
    </row>
    <row r="10" spans="1:11" ht="12.75">
      <c r="A10" t="s">
        <v>116</v>
      </c>
      <c r="B10" t="s">
        <v>115</v>
      </c>
      <c r="C10">
        <v>60</v>
      </c>
      <c r="D10">
        <v>75</v>
      </c>
      <c r="E10">
        <v>95</v>
      </c>
      <c r="H10">
        <v>85</v>
      </c>
      <c r="I10">
        <v>120</v>
      </c>
      <c r="J10">
        <v>80</v>
      </c>
      <c r="K10">
        <v>105</v>
      </c>
    </row>
    <row r="11" ht="12.75">
      <c r="H11">
        <v>0</v>
      </c>
    </row>
    <row r="12" ht="12.75">
      <c r="H12">
        <v>0</v>
      </c>
    </row>
    <row r="13" spans="1:8" ht="12.75">
      <c r="A13" t="s">
        <v>6</v>
      </c>
      <c r="H13">
        <v>0</v>
      </c>
    </row>
    <row r="14" spans="1:11" ht="12.75">
      <c r="A14" t="s">
        <v>91</v>
      </c>
      <c r="B14" t="s">
        <v>88</v>
      </c>
      <c r="C14">
        <v>60</v>
      </c>
      <c r="D14">
        <v>60</v>
      </c>
      <c r="E14">
        <v>60</v>
      </c>
      <c r="F14">
        <v>1</v>
      </c>
      <c r="H14">
        <v>60</v>
      </c>
      <c r="I14">
        <v>60</v>
      </c>
      <c r="J14">
        <v>55</v>
      </c>
      <c r="K14">
        <v>60</v>
      </c>
    </row>
    <row r="15" spans="1:11" ht="12.75">
      <c r="A15" t="s">
        <v>7</v>
      </c>
      <c r="B15" t="s">
        <v>87</v>
      </c>
      <c r="C15">
        <v>40</v>
      </c>
      <c r="D15">
        <v>40</v>
      </c>
      <c r="E15">
        <v>40</v>
      </c>
      <c r="F15">
        <v>1</v>
      </c>
      <c r="H15">
        <v>40</v>
      </c>
      <c r="I15">
        <v>40</v>
      </c>
      <c r="J15">
        <v>35</v>
      </c>
      <c r="K15">
        <v>40</v>
      </c>
    </row>
    <row r="16" ht="12.75">
      <c r="H16">
        <v>0</v>
      </c>
    </row>
    <row r="17" spans="1:8" ht="12.75">
      <c r="A17" t="s">
        <v>85</v>
      </c>
      <c r="H17">
        <v>0</v>
      </c>
    </row>
    <row r="18" spans="1:11" ht="12.75">
      <c r="A18" t="s">
        <v>205</v>
      </c>
      <c r="B18" t="s">
        <v>94</v>
      </c>
      <c r="C18">
        <v>40</v>
      </c>
      <c r="D18">
        <v>50</v>
      </c>
      <c r="E18">
        <v>65</v>
      </c>
      <c r="F18">
        <v>1</v>
      </c>
      <c r="H18">
        <v>60</v>
      </c>
      <c r="I18">
        <v>85</v>
      </c>
      <c r="J18">
        <v>55</v>
      </c>
      <c r="K18">
        <v>75</v>
      </c>
    </row>
    <row r="19" spans="1:11" ht="12.75">
      <c r="A19" t="s">
        <v>93</v>
      </c>
      <c r="B19" t="s">
        <v>206</v>
      </c>
      <c r="C19">
        <v>130</v>
      </c>
      <c r="D19">
        <v>160</v>
      </c>
      <c r="E19">
        <v>215</v>
      </c>
      <c r="F19">
        <v>1</v>
      </c>
      <c r="H19">
        <v>190</v>
      </c>
      <c r="I19">
        <v>290</v>
      </c>
      <c r="J19">
        <v>185</v>
      </c>
      <c r="K19">
        <v>240</v>
      </c>
    </row>
    <row r="20" spans="1:11" ht="12.75">
      <c r="A20" t="s">
        <v>117</v>
      </c>
      <c r="B20" t="s">
        <v>207</v>
      </c>
      <c r="C20">
        <v>140</v>
      </c>
      <c r="D20">
        <v>170</v>
      </c>
      <c r="E20">
        <v>230</v>
      </c>
      <c r="F20">
        <v>1</v>
      </c>
      <c r="H20">
        <v>200</v>
      </c>
      <c r="I20">
        <v>310</v>
      </c>
      <c r="J20">
        <v>195</v>
      </c>
      <c r="K20">
        <v>255</v>
      </c>
    </row>
    <row r="21" ht="12.75">
      <c r="H21">
        <v>0</v>
      </c>
    </row>
    <row r="22" ht="12.75">
      <c r="H22">
        <v>0</v>
      </c>
    </row>
    <row r="23" spans="1:8" ht="12.75">
      <c r="A23" t="s">
        <v>118</v>
      </c>
      <c r="H23">
        <v>0</v>
      </c>
    </row>
    <row r="24" spans="1:11" ht="12.75">
      <c r="A24" t="s">
        <v>119</v>
      </c>
      <c r="B24" t="s">
        <v>120</v>
      </c>
      <c r="C24">
        <v>30</v>
      </c>
      <c r="D24">
        <v>30</v>
      </c>
      <c r="E24">
        <v>30</v>
      </c>
      <c r="H24">
        <v>30</v>
      </c>
      <c r="I24">
        <v>30</v>
      </c>
      <c r="J24">
        <v>25</v>
      </c>
      <c r="K24">
        <v>30</v>
      </c>
    </row>
    <row r="25" spans="1:11" ht="12.75">
      <c r="A25" t="s">
        <v>121</v>
      </c>
      <c r="B25" t="s">
        <v>127</v>
      </c>
      <c r="C25">
        <v>60</v>
      </c>
      <c r="D25">
        <v>60</v>
      </c>
      <c r="E25">
        <v>60</v>
      </c>
      <c r="H25">
        <v>60</v>
      </c>
      <c r="I25">
        <v>60</v>
      </c>
      <c r="J25">
        <v>55</v>
      </c>
      <c r="K25">
        <v>60</v>
      </c>
    </row>
    <row r="26" spans="1:11" ht="12.75">
      <c r="A26" t="s">
        <v>122</v>
      </c>
      <c r="B26" t="s">
        <v>128</v>
      </c>
      <c r="C26">
        <v>90</v>
      </c>
      <c r="D26">
        <v>90</v>
      </c>
      <c r="E26">
        <v>90</v>
      </c>
      <c r="H26">
        <v>90</v>
      </c>
      <c r="I26">
        <v>90</v>
      </c>
      <c r="J26">
        <v>85</v>
      </c>
      <c r="K26">
        <v>90</v>
      </c>
    </row>
    <row r="27" spans="1:11" ht="12.75">
      <c r="A27" t="s">
        <v>123</v>
      </c>
      <c r="B27" t="s">
        <v>129</v>
      </c>
      <c r="C27">
        <v>120</v>
      </c>
      <c r="D27">
        <v>120</v>
      </c>
      <c r="E27">
        <v>120</v>
      </c>
      <c r="H27">
        <v>120</v>
      </c>
      <c r="I27">
        <v>120</v>
      </c>
      <c r="J27">
        <v>115</v>
      </c>
      <c r="K27">
        <v>120</v>
      </c>
    </row>
    <row r="28" spans="1:11" ht="12.75">
      <c r="A28" t="s">
        <v>124</v>
      </c>
      <c r="B28" t="s">
        <v>130</v>
      </c>
      <c r="C28">
        <v>150</v>
      </c>
      <c r="D28">
        <v>150</v>
      </c>
      <c r="E28">
        <v>150</v>
      </c>
      <c r="H28">
        <v>150</v>
      </c>
      <c r="I28">
        <v>150</v>
      </c>
      <c r="J28">
        <v>145</v>
      </c>
      <c r="K28">
        <v>150</v>
      </c>
    </row>
    <row r="29" spans="1:11" ht="12.75">
      <c r="A29" t="s">
        <v>125</v>
      </c>
      <c r="B29" t="s">
        <v>131</v>
      </c>
      <c r="C29">
        <v>180</v>
      </c>
      <c r="D29">
        <v>180</v>
      </c>
      <c r="E29">
        <v>180</v>
      </c>
      <c r="H29">
        <v>180</v>
      </c>
      <c r="I29">
        <v>180</v>
      </c>
      <c r="J29">
        <v>175</v>
      </c>
      <c r="K29">
        <v>180</v>
      </c>
    </row>
    <row r="30" spans="1:11" ht="12.75">
      <c r="A30" t="s">
        <v>126</v>
      </c>
      <c r="B30" t="s">
        <v>132</v>
      </c>
      <c r="C30">
        <v>210</v>
      </c>
      <c r="D30">
        <v>210</v>
      </c>
      <c r="E30">
        <v>210</v>
      </c>
      <c r="H30">
        <v>210</v>
      </c>
      <c r="I30">
        <v>210</v>
      </c>
      <c r="J30">
        <v>205</v>
      </c>
      <c r="K30">
        <v>210</v>
      </c>
    </row>
    <row r="31" ht="12.75">
      <c r="H31">
        <v>0</v>
      </c>
    </row>
    <row r="32" spans="1:8" ht="12.75">
      <c r="A32" t="s">
        <v>133</v>
      </c>
      <c r="H32">
        <v>0</v>
      </c>
    </row>
    <row r="33" spans="1:11" ht="12.75">
      <c r="A33" t="s">
        <v>134</v>
      </c>
      <c r="B33" t="s">
        <v>135</v>
      </c>
      <c r="C33">
        <v>50</v>
      </c>
      <c r="D33">
        <v>60</v>
      </c>
      <c r="E33">
        <v>80</v>
      </c>
      <c r="H33">
        <v>70</v>
      </c>
      <c r="I33">
        <v>105</v>
      </c>
      <c r="J33">
        <v>65</v>
      </c>
      <c r="K33">
        <v>90</v>
      </c>
    </row>
    <row r="34" ht="12.75">
      <c r="H34">
        <v>0</v>
      </c>
    </row>
    <row r="35" spans="1:8" ht="12.75">
      <c r="A35" t="s">
        <v>136</v>
      </c>
      <c r="H35">
        <v>0</v>
      </c>
    </row>
    <row r="36" spans="1:11" ht="12.75">
      <c r="A36" t="s">
        <v>137</v>
      </c>
      <c r="B36" t="s">
        <v>110</v>
      </c>
      <c r="C36">
        <v>25</v>
      </c>
      <c r="D36">
        <v>30</v>
      </c>
      <c r="E36">
        <v>40</v>
      </c>
      <c r="H36">
        <v>35</v>
      </c>
      <c r="I36">
        <v>55</v>
      </c>
      <c r="J36">
        <v>30</v>
      </c>
      <c r="K36">
        <v>45</v>
      </c>
    </row>
    <row r="37" spans="1:11" ht="12.75">
      <c r="A37" t="s">
        <v>138</v>
      </c>
      <c r="B37" t="s">
        <v>139</v>
      </c>
      <c r="C37">
        <v>30</v>
      </c>
      <c r="D37">
        <v>35</v>
      </c>
      <c r="E37">
        <v>45</v>
      </c>
      <c r="H37">
        <v>40</v>
      </c>
      <c r="I37">
        <v>60</v>
      </c>
      <c r="J37">
        <v>35</v>
      </c>
      <c r="K37">
        <v>50</v>
      </c>
    </row>
    <row r="38" ht="12.75">
      <c r="H38">
        <v>0</v>
      </c>
    </row>
    <row r="39" spans="1:8" ht="12.75">
      <c r="A39" t="s">
        <v>140</v>
      </c>
      <c r="H39">
        <v>0</v>
      </c>
    </row>
    <row r="40" spans="1:11" ht="12.75">
      <c r="A40" t="s">
        <v>141</v>
      </c>
      <c r="B40" t="s">
        <v>143</v>
      </c>
      <c r="C40">
        <v>80</v>
      </c>
      <c r="D40">
        <v>95</v>
      </c>
      <c r="E40">
        <v>120</v>
      </c>
      <c r="H40">
        <v>110</v>
      </c>
      <c r="I40">
        <v>150</v>
      </c>
      <c r="J40">
        <v>105</v>
      </c>
      <c r="K40">
        <v>130</v>
      </c>
    </row>
    <row r="41" spans="1:11" ht="12.75">
      <c r="A41" t="s">
        <v>142</v>
      </c>
      <c r="B41" t="s">
        <v>144</v>
      </c>
      <c r="C41">
        <v>90</v>
      </c>
      <c r="D41">
        <v>105</v>
      </c>
      <c r="E41">
        <v>130</v>
      </c>
      <c r="H41">
        <v>120</v>
      </c>
      <c r="I41">
        <v>160</v>
      </c>
      <c r="J41">
        <v>115</v>
      </c>
      <c r="K41">
        <v>140</v>
      </c>
    </row>
    <row r="42" ht="12.75">
      <c r="H42">
        <v>0</v>
      </c>
    </row>
    <row r="43" spans="1:8" ht="12.75">
      <c r="A43" t="s">
        <v>145</v>
      </c>
      <c r="H43">
        <v>0</v>
      </c>
    </row>
    <row r="44" spans="1:11" ht="12.75">
      <c r="A44" t="s">
        <v>146</v>
      </c>
      <c r="B44" t="s">
        <v>147</v>
      </c>
      <c r="C44">
        <v>50</v>
      </c>
      <c r="D44">
        <v>60</v>
      </c>
      <c r="E44">
        <v>80</v>
      </c>
      <c r="H44">
        <v>70</v>
      </c>
      <c r="I44">
        <v>105</v>
      </c>
      <c r="J44">
        <v>65</v>
      </c>
      <c r="K44">
        <v>90</v>
      </c>
    </row>
    <row r="45" spans="1:11" ht="12.75">
      <c r="A45" t="s">
        <v>148</v>
      </c>
      <c r="B45" t="s">
        <v>149</v>
      </c>
      <c r="C45">
        <v>60</v>
      </c>
      <c r="D45">
        <v>70</v>
      </c>
      <c r="E45">
        <v>90</v>
      </c>
      <c r="H45">
        <v>80</v>
      </c>
      <c r="I45">
        <v>115</v>
      </c>
      <c r="J45">
        <v>75</v>
      </c>
      <c r="K45">
        <v>100</v>
      </c>
    </row>
    <row r="46" ht="12.75">
      <c r="H46">
        <v>0</v>
      </c>
    </row>
    <row r="47" spans="1:8" ht="12.75">
      <c r="A47" t="s">
        <v>0</v>
      </c>
      <c r="H47">
        <v>0</v>
      </c>
    </row>
    <row r="48" spans="1:11" ht="12.75">
      <c r="A48" t="s">
        <v>150</v>
      </c>
      <c r="B48" t="s">
        <v>151</v>
      </c>
      <c r="C48">
        <v>20</v>
      </c>
      <c r="D48">
        <v>25</v>
      </c>
      <c r="E48">
        <v>35</v>
      </c>
      <c r="H48">
        <v>30</v>
      </c>
      <c r="I48">
        <v>50</v>
      </c>
      <c r="J48">
        <v>25</v>
      </c>
      <c r="K48">
        <v>40</v>
      </c>
    </row>
    <row r="49" ht="12.75">
      <c r="H49">
        <v>0</v>
      </c>
    </row>
    <row r="50" spans="1:8" ht="12.75">
      <c r="A50" t="s">
        <v>152</v>
      </c>
      <c r="H50">
        <v>0</v>
      </c>
    </row>
    <row r="51" spans="1:11" ht="12.75">
      <c r="A51" t="s">
        <v>153</v>
      </c>
      <c r="B51" t="s">
        <v>154</v>
      </c>
      <c r="C51">
        <v>45</v>
      </c>
      <c r="D51">
        <v>55</v>
      </c>
      <c r="E51">
        <v>75</v>
      </c>
      <c r="H51">
        <v>65</v>
      </c>
      <c r="I51">
        <v>100</v>
      </c>
      <c r="J51">
        <v>60</v>
      </c>
      <c r="K51">
        <v>85</v>
      </c>
    </row>
    <row r="52" spans="1:11" ht="12.75">
      <c r="A52" t="s">
        <v>162</v>
      </c>
      <c r="B52" t="s">
        <v>163</v>
      </c>
      <c r="C52">
        <v>65</v>
      </c>
      <c r="D52">
        <v>80</v>
      </c>
      <c r="E52">
        <v>110</v>
      </c>
      <c r="H52">
        <v>95</v>
      </c>
      <c r="I52">
        <v>150</v>
      </c>
      <c r="J52">
        <v>90</v>
      </c>
      <c r="K52">
        <v>125</v>
      </c>
    </row>
    <row r="53" ht="12.75">
      <c r="H53">
        <v>0</v>
      </c>
    </row>
    <row r="54" spans="1:8" ht="12.75">
      <c r="A54" t="s">
        <v>155</v>
      </c>
      <c r="H54">
        <v>0</v>
      </c>
    </row>
    <row r="55" spans="1:11" ht="12.75">
      <c r="A55" t="s">
        <v>156</v>
      </c>
      <c r="B55" t="s">
        <v>157</v>
      </c>
      <c r="C55">
        <v>100</v>
      </c>
      <c r="D55">
        <v>125</v>
      </c>
      <c r="E55">
        <v>165</v>
      </c>
      <c r="H55">
        <v>145</v>
      </c>
      <c r="I55">
        <v>220</v>
      </c>
      <c r="J55">
        <v>140</v>
      </c>
      <c r="K55">
        <v>185</v>
      </c>
    </row>
    <row r="56" spans="1:11" ht="12.75">
      <c r="A56" t="s">
        <v>158</v>
      </c>
      <c r="B56" t="s">
        <v>159</v>
      </c>
      <c r="C56">
        <v>120</v>
      </c>
      <c r="D56">
        <v>150</v>
      </c>
      <c r="E56">
        <v>200</v>
      </c>
      <c r="H56">
        <v>175</v>
      </c>
      <c r="I56">
        <v>265</v>
      </c>
      <c r="J56">
        <v>170</v>
      </c>
      <c r="K56">
        <v>220</v>
      </c>
    </row>
    <row r="57" spans="1:11" ht="12.75">
      <c r="A57" t="s">
        <v>160</v>
      </c>
      <c r="B57" t="s">
        <v>161</v>
      </c>
      <c r="C57">
        <v>140</v>
      </c>
      <c r="D57">
        <v>175</v>
      </c>
      <c r="E57">
        <v>235</v>
      </c>
      <c r="H57">
        <v>205</v>
      </c>
      <c r="I57">
        <v>315</v>
      </c>
      <c r="J57">
        <v>200</v>
      </c>
      <c r="K57">
        <v>260</v>
      </c>
    </row>
    <row r="58" ht="12.75">
      <c r="H58">
        <v>0</v>
      </c>
    </row>
    <row r="59" spans="1:8" ht="12.75">
      <c r="A59" t="s">
        <v>164</v>
      </c>
      <c r="H59">
        <v>0</v>
      </c>
    </row>
    <row r="60" spans="1:11" ht="12.75">
      <c r="A60" t="s">
        <v>165</v>
      </c>
      <c r="B60" t="s">
        <v>166</v>
      </c>
      <c r="C60">
        <v>100</v>
      </c>
      <c r="D60">
        <v>125</v>
      </c>
      <c r="E60">
        <v>165</v>
      </c>
      <c r="F60">
        <v>1</v>
      </c>
      <c r="H60">
        <v>145</v>
      </c>
      <c r="I60">
        <v>220</v>
      </c>
      <c r="J60">
        <v>140</v>
      </c>
      <c r="K60">
        <v>185</v>
      </c>
    </row>
    <row r="61" spans="1:11" ht="12.75">
      <c r="A61" t="s">
        <v>167</v>
      </c>
      <c r="B61" t="s">
        <v>168</v>
      </c>
      <c r="C61">
        <v>120</v>
      </c>
      <c r="D61">
        <v>150</v>
      </c>
      <c r="E61">
        <v>200</v>
      </c>
      <c r="H61">
        <v>175</v>
      </c>
      <c r="I61">
        <v>265</v>
      </c>
      <c r="J61">
        <v>170</v>
      </c>
      <c r="K61">
        <v>220</v>
      </c>
    </row>
    <row r="62" spans="1:11" ht="12.75">
      <c r="A62" t="s">
        <v>169</v>
      </c>
      <c r="B62" t="s">
        <v>170</v>
      </c>
      <c r="C62">
        <v>145</v>
      </c>
      <c r="D62">
        <v>180</v>
      </c>
      <c r="E62">
        <v>240</v>
      </c>
      <c r="H62">
        <v>210</v>
      </c>
      <c r="I62">
        <v>320</v>
      </c>
      <c r="J62">
        <v>205</v>
      </c>
      <c r="K62">
        <v>265</v>
      </c>
    </row>
    <row r="63" ht="12.75">
      <c r="H63">
        <v>0</v>
      </c>
    </row>
    <row r="64" spans="1:8" ht="12.75">
      <c r="A64" t="s">
        <v>171</v>
      </c>
      <c r="H64">
        <v>0</v>
      </c>
    </row>
    <row r="65" spans="1:11" ht="12.75">
      <c r="A65" t="s">
        <v>172</v>
      </c>
      <c r="B65" t="s">
        <v>173</v>
      </c>
      <c r="C65">
        <v>95</v>
      </c>
      <c r="D65">
        <v>110</v>
      </c>
      <c r="E65">
        <v>135</v>
      </c>
      <c r="H65">
        <v>125</v>
      </c>
      <c r="I65">
        <v>165</v>
      </c>
      <c r="J65">
        <v>120</v>
      </c>
      <c r="K65">
        <v>145</v>
      </c>
    </row>
    <row r="66" spans="1:11" ht="12.75">
      <c r="A66" t="s">
        <v>174</v>
      </c>
      <c r="B66" t="s">
        <v>175</v>
      </c>
      <c r="C66">
        <v>130</v>
      </c>
      <c r="D66">
        <v>155</v>
      </c>
      <c r="E66">
        <v>190</v>
      </c>
      <c r="H66">
        <v>175</v>
      </c>
      <c r="I66">
        <v>235</v>
      </c>
      <c r="J66">
        <v>170</v>
      </c>
      <c r="K66">
        <v>205</v>
      </c>
    </row>
    <row r="67" spans="1:11" ht="12.75">
      <c r="A67" t="s">
        <v>177</v>
      </c>
      <c r="B67" t="s">
        <v>176</v>
      </c>
      <c r="C67">
        <v>165</v>
      </c>
      <c r="D67">
        <v>200</v>
      </c>
      <c r="E67">
        <v>250</v>
      </c>
      <c r="H67">
        <v>225</v>
      </c>
      <c r="I67">
        <v>315</v>
      </c>
      <c r="J67">
        <v>220</v>
      </c>
      <c r="K67">
        <v>270</v>
      </c>
    </row>
    <row r="68" ht="12.75">
      <c r="H68">
        <v>0</v>
      </c>
    </row>
    <row r="69" spans="1:8" ht="12.75">
      <c r="A69" t="s">
        <v>178</v>
      </c>
      <c r="H69">
        <v>0</v>
      </c>
    </row>
    <row r="70" spans="1:11" ht="12.75">
      <c r="A70" t="s">
        <v>179</v>
      </c>
      <c r="B70" t="s">
        <v>180</v>
      </c>
      <c r="C70">
        <v>135</v>
      </c>
      <c r="D70">
        <v>165</v>
      </c>
      <c r="E70">
        <v>210</v>
      </c>
      <c r="H70">
        <v>190</v>
      </c>
      <c r="I70">
        <v>265</v>
      </c>
      <c r="J70">
        <v>185</v>
      </c>
      <c r="K70">
        <v>230</v>
      </c>
    </row>
    <row r="71" ht="12.75">
      <c r="H71">
        <v>0</v>
      </c>
    </row>
    <row r="72" spans="1:8" ht="12.75">
      <c r="A72" t="s">
        <v>181</v>
      </c>
      <c r="H72">
        <v>0</v>
      </c>
    </row>
    <row r="73" spans="1:11" ht="12.75">
      <c r="A73" t="s">
        <v>182</v>
      </c>
      <c r="B73" t="s">
        <v>183</v>
      </c>
      <c r="C73">
        <v>135</v>
      </c>
      <c r="D73">
        <v>165</v>
      </c>
      <c r="E73">
        <v>210</v>
      </c>
      <c r="H73">
        <v>190</v>
      </c>
      <c r="I73">
        <v>265</v>
      </c>
      <c r="J73">
        <v>185</v>
      </c>
      <c r="K73">
        <v>230</v>
      </c>
    </row>
    <row r="74" ht="12.75">
      <c r="H74">
        <v>0</v>
      </c>
    </row>
    <row r="75" spans="1:8" ht="12.75">
      <c r="A75" t="s">
        <v>184</v>
      </c>
      <c r="H75">
        <v>0</v>
      </c>
    </row>
    <row r="76" spans="1:10" ht="12.75">
      <c r="A76" t="s">
        <v>185</v>
      </c>
      <c r="B76" t="s">
        <v>186</v>
      </c>
      <c r="E76">
        <v>230</v>
      </c>
      <c r="F76">
        <v>-1</v>
      </c>
      <c r="H76">
        <v>115</v>
      </c>
      <c r="J76">
        <v>110</v>
      </c>
    </row>
    <row r="77" spans="1:10" ht="12.75">
      <c r="A77" t="s">
        <v>187</v>
      </c>
      <c r="B77" t="s">
        <v>188</v>
      </c>
      <c r="E77">
        <v>245</v>
      </c>
      <c r="F77">
        <v>-1</v>
      </c>
      <c r="H77">
        <v>125</v>
      </c>
      <c r="J77">
        <v>120</v>
      </c>
    </row>
    <row r="78" ht="12.75">
      <c r="H78">
        <v>0</v>
      </c>
    </row>
    <row r="79" spans="1:8" ht="12.75">
      <c r="A79" t="s">
        <v>189</v>
      </c>
      <c r="H79">
        <v>0</v>
      </c>
    </row>
    <row r="80" spans="1:10" ht="12.75">
      <c r="A80" t="s">
        <v>190</v>
      </c>
      <c r="B80" t="s">
        <v>191</v>
      </c>
      <c r="E80">
        <v>65</v>
      </c>
      <c r="F80">
        <v>-1</v>
      </c>
      <c r="H80">
        <v>35</v>
      </c>
      <c r="J80">
        <v>30</v>
      </c>
    </row>
    <row r="81" spans="1:10" ht="12.75">
      <c r="A81" t="s">
        <v>192</v>
      </c>
      <c r="B81" t="s">
        <v>193</v>
      </c>
      <c r="E81">
        <v>80</v>
      </c>
      <c r="F81">
        <v>-1</v>
      </c>
      <c r="H81">
        <v>40</v>
      </c>
      <c r="J81">
        <v>35</v>
      </c>
    </row>
    <row r="82" ht="12.75">
      <c r="H82">
        <v>0</v>
      </c>
    </row>
    <row r="83" spans="1:8" ht="12.75">
      <c r="A83" t="s">
        <v>194</v>
      </c>
      <c r="H83">
        <v>0</v>
      </c>
    </row>
    <row r="84" spans="1:10" ht="12.75">
      <c r="A84" t="s">
        <v>195</v>
      </c>
      <c r="B84" t="s">
        <v>196</v>
      </c>
      <c r="E84">
        <v>75</v>
      </c>
      <c r="H84">
        <v>40</v>
      </c>
      <c r="J84">
        <v>35</v>
      </c>
    </row>
    <row r="85" ht="12.75">
      <c r="H85">
        <v>0</v>
      </c>
    </row>
    <row r="86" spans="1:8" ht="12.75">
      <c r="A86" t="s">
        <v>197</v>
      </c>
      <c r="H86">
        <v>0</v>
      </c>
    </row>
    <row r="87" spans="1:10" ht="12.75">
      <c r="A87" t="s">
        <v>198</v>
      </c>
      <c r="B87" t="s">
        <v>199</v>
      </c>
      <c r="E87">
        <v>120</v>
      </c>
      <c r="H87">
        <v>60</v>
      </c>
      <c r="J87">
        <v>55</v>
      </c>
    </row>
    <row r="88" ht="12.75">
      <c r="H88">
        <v>0</v>
      </c>
    </row>
    <row r="89" spans="1:8" ht="12.75">
      <c r="A89" t="s">
        <v>200</v>
      </c>
      <c r="H89">
        <v>0</v>
      </c>
    </row>
    <row r="90" spans="1:10" ht="12.75">
      <c r="A90" t="s">
        <v>201</v>
      </c>
      <c r="B90" t="s">
        <v>202</v>
      </c>
      <c r="E90">
        <v>70</v>
      </c>
      <c r="H90">
        <v>35</v>
      </c>
      <c r="J90">
        <v>30</v>
      </c>
    </row>
    <row r="91" spans="1:10" ht="12.75">
      <c r="A91" t="s">
        <v>203</v>
      </c>
      <c r="B91" t="s">
        <v>204</v>
      </c>
      <c r="E91">
        <v>85</v>
      </c>
      <c r="H91">
        <v>45</v>
      </c>
      <c r="J91">
        <v>40</v>
      </c>
    </row>
    <row r="92" ht="12.75">
      <c r="H92">
        <v>0</v>
      </c>
    </row>
    <row r="93" spans="1:8" ht="12.75">
      <c r="A93" t="s">
        <v>214</v>
      </c>
      <c r="H93">
        <v>0</v>
      </c>
    </row>
    <row r="94" spans="1:8" ht="12.75">
      <c r="A94" t="s">
        <v>215</v>
      </c>
      <c r="B94" t="s">
        <v>216</v>
      </c>
      <c r="H94">
        <v>0</v>
      </c>
    </row>
    <row r="95" spans="1:11" ht="12.75">
      <c r="A95" t="s">
        <v>220</v>
      </c>
      <c r="B95" t="s">
        <v>217</v>
      </c>
      <c r="C95">
        <v>15</v>
      </c>
      <c r="D95">
        <v>20</v>
      </c>
      <c r="E95">
        <v>25</v>
      </c>
      <c r="H95">
        <v>25</v>
      </c>
      <c r="I95">
        <v>30</v>
      </c>
      <c r="J95">
        <v>20</v>
      </c>
      <c r="K95">
        <v>30</v>
      </c>
    </row>
    <row r="96" spans="1:11" ht="12.75">
      <c r="A96" t="s">
        <v>222</v>
      </c>
      <c r="B96" t="s">
        <v>218</v>
      </c>
      <c r="C96">
        <v>20</v>
      </c>
      <c r="D96">
        <v>25</v>
      </c>
      <c r="E96">
        <v>35</v>
      </c>
      <c r="H96">
        <v>30</v>
      </c>
      <c r="I96">
        <v>50</v>
      </c>
      <c r="J96">
        <v>25</v>
      </c>
      <c r="K96">
        <v>40</v>
      </c>
    </row>
    <row r="97" spans="1:11" ht="12.75">
      <c r="A97" t="s">
        <v>221</v>
      </c>
      <c r="B97" t="s">
        <v>219</v>
      </c>
      <c r="C97">
        <v>30</v>
      </c>
      <c r="D97">
        <v>40</v>
      </c>
      <c r="E97">
        <v>50</v>
      </c>
      <c r="H97">
        <v>45</v>
      </c>
      <c r="I97">
        <v>65</v>
      </c>
      <c r="J97">
        <v>40</v>
      </c>
      <c r="K97">
        <v>55</v>
      </c>
    </row>
    <row r="98" ht="12.75">
      <c r="H98">
        <v>0</v>
      </c>
    </row>
    <row r="99" spans="1:8" ht="12.75">
      <c r="A99" t="s">
        <v>223</v>
      </c>
      <c r="H99">
        <v>0</v>
      </c>
    </row>
    <row r="100" spans="1:8" ht="12.75">
      <c r="A100" t="s">
        <v>224</v>
      </c>
      <c r="B100" t="s">
        <v>228</v>
      </c>
      <c r="H100">
        <v>0</v>
      </c>
    </row>
    <row r="101" spans="1:11" ht="12.75">
      <c r="A101" t="s">
        <v>225</v>
      </c>
      <c r="B101" t="s">
        <v>229</v>
      </c>
      <c r="C101">
        <v>5</v>
      </c>
      <c r="D101">
        <v>5</v>
      </c>
      <c r="E101">
        <v>10</v>
      </c>
      <c r="H101">
        <v>10</v>
      </c>
      <c r="I101">
        <v>20</v>
      </c>
      <c r="J101">
        <v>5</v>
      </c>
      <c r="K101">
        <v>15</v>
      </c>
    </row>
    <row r="102" spans="1:11" ht="12.75">
      <c r="A102" t="s">
        <v>227</v>
      </c>
      <c r="B102" t="s">
        <v>231</v>
      </c>
      <c r="C102">
        <v>15</v>
      </c>
      <c r="D102">
        <v>20</v>
      </c>
      <c r="E102">
        <v>25</v>
      </c>
      <c r="H102">
        <v>25</v>
      </c>
      <c r="I102">
        <v>30</v>
      </c>
      <c r="J102">
        <v>20</v>
      </c>
      <c r="K102">
        <v>30</v>
      </c>
    </row>
    <row r="103" spans="1:11" ht="12.75">
      <c r="A103" t="s">
        <v>226</v>
      </c>
      <c r="B103" t="s">
        <v>230</v>
      </c>
      <c r="C103">
        <v>10</v>
      </c>
      <c r="D103">
        <v>15</v>
      </c>
      <c r="E103">
        <v>20</v>
      </c>
      <c r="H103">
        <v>20</v>
      </c>
      <c r="I103">
        <v>25</v>
      </c>
      <c r="J103">
        <v>15</v>
      </c>
      <c r="K103">
        <v>25</v>
      </c>
    </row>
    <row r="104" ht="12.75">
      <c r="H104">
        <v>0</v>
      </c>
    </row>
    <row r="105" spans="1:8" ht="12.75">
      <c r="A105" t="s">
        <v>232</v>
      </c>
      <c r="H105">
        <v>0</v>
      </c>
    </row>
    <row r="106" spans="1:11" ht="12.75">
      <c r="A106" t="s">
        <v>233</v>
      </c>
      <c r="B106" t="s">
        <v>234</v>
      </c>
      <c r="C106">
        <v>70</v>
      </c>
      <c r="D106">
        <v>85</v>
      </c>
      <c r="E106">
        <v>115</v>
      </c>
      <c r="H106">
        <v>100</v>
      </c>
      <c r="I106">
        <v>155</v>
      </c>
      <c r="J106">
        <v>95</v>
      </c>
      <c r="K106">
        <v>130</v>
      </c>
    </row>
    <row r="107" spans="1:11" ht="12.75">
      <c r="A107" t="s">
        <v>239</v>
      </c>
      <c r="B107" t="s">
        <v>235</v>
      </c>
      <c r="C107">
        <v>85</v>
      </c>
      <c r="D107">
        <v>105</v>
      </c>
      <c r="E107">
        <v>140</v>
      </c>
      <c r="H107">
        <v>125</v>
      </c>
      <c r="I107">
        <v>185</v>
      </c>
      <c r="J107">
        <v>120</v>
      </c>
      <c r="K107">
        <v>155</v>
      </c>
    </row>
    <row r="108" spans="1:11" ht="12.75">
      <c r="A108" t="s">
        <v>240</v>
      </c>
      <c r="B108" t="s">
        <v>236</v>
      </c>
      <c r="C108">
        <v>100</v>
      </c>
      <c r="D108">
        <v>125</v>
      </c>
      <c r="E108">
        <v>165</v>
      </c>
      <c r="H108">
        <v>145</v>
      </c>
      <c r="I108">
        <v>220</v>
      </c>
      <c r="J108">
        <v>140</v>
      </c>
      <c r="K108">
        <v>185</v>
      </c>
    </row>
    <row r="109" spans="1:11" ht="12.75">
      <c r="A109" t="s">
        <v>241</v>
      </c>
      <c r="B109" t="s">
        <v>237</v>
      </c>
      <c r="C109">
        <v>105</v>
      </c>
      <c r="D109">
        <v>130</v>
      </c>
      <c r="E109">
        <v>175</v>
      </c>
      <c r="H109">
        <v>155</v>
      </c>
      <c r="I109">
        <v>235</v>
      </c>
      <c r="J109">
        <v>150</v>
      </c>
      <c r="K109">
        <v>195</v>
      </c>
    </row>
    <row r="110" spans="1:11" ht="12.75">
      <c r="A110" t="s">
        <v>242</v>
      </c>
      <c r="B110" t="s">
        <v>238</v>
      </c>
      <c r="C110">
        <v>110</v>
      </c>
      <c r="D110">
        <v>135</v>
      </c>
      <c r="E110">
        <v>185</v>
      </c>
      <c r="H110">
        <v>160</v>
      </c>
      <c r="I110">
        <v>255</v>
      </c>
      <c r="J110">
        <v>155</v>
      </c>
      <c r="K110">
        <v>210</v>
      </c>
    </row>
    <row r="111" spans="1:11" ht="12.75">
      <c r="A111" t="s">
        <v>243</v>
      </c>
      <c r="B111" t="s">
        <v>245</v>
      </c>
      <c r="C111">
        <v>120</v>
      </c>
      <c r="D111">
        <v>150</v>
      </c>
      <c r="E111">
        <v>200</v>
      </c>
      <c r="H111">
        <v>175</v>
      </c>
      <c r="I111">
        <v>265</v>
      </c>
      <c r="J111">
        <v>170</v>
      </c>
      <c r="K111">
        <v>220</v>
      </c>
    </row>
    <row r="112" spans="1:11" ht="12.75">
      <c r="A112" t="s">
        <v>244</v>
      </c>
      <c r="B112" t="s">
        <v>246</v>
      </c>
      <c r="C112">
        <v>130</v>
      </c>
      <c r="D112">
        <v>165</v>
      </c>
      <c r="E112">
        <v>215</v>
      </c>
      <c r="H112">
        <v>190</v>
      </c>
      <c r="I112">
        <v>280</v>
      </c>
      <c r="J112">
        <v>185</v>
      </c>
      <c r="K112">
        <v>235</v>
      </c>
    </row>
    <row r="113" ht="12.75">
      <c r="H113">
        <v>0</v>
      </c>
    </row>
    <row r="114" spans="1:8" ht="12.75">
      <c r="A114" t="s">
        <v>311</v>
      </c>
      <c r="B114" t="s">
        <v>236</v>
      </c>
      <c r="C114">
        <v>0</v>
      </c>
      <c r="D114">
        <v>0</v>
      </c>
      <c r="E114">
        <v>0</v>
      </c>
      <c r="H114">
        <v>0</v>
      </c>
    </row>
    <row r="115" spans="1:11" ht="12.75">
      <c r="A115" t="s">
        <v>247</v>
      </c>
      <c r="B115" t="s">
        <v>237</v>
      </c>
      <c r="C115">
        <v>5</v>
      </c>
      <c r="D115">
        <v>5</v>
      </c>
      <c r="E115">
        <v>10</v>
      </c>
      <c r="H115">
        <v>10</v>
      </c>
      <c r="I115">
        <v>20</v>
      </c>
      <c r="J115">
        <v>5</v>
      </c>
      <c r="K115">
        <v>15</v>
      </c>
    </row>
    <row r="116" spans="1:11" ht="12.75">
      <c r="A116" t="s">
        <v>314</v>
      </c>
      <c r="B116" t="s">
        <v>238</v>
      </c>
      <c r="C116">
        <v>10</v>
      </c>
      <c r="D116">
        <v>10</v>
      </c>
      <c r="E116">
        <v>20</v>
      </c>
      <c r="H116">
        <v>15</v>
      </c>
      <c r="I116">
        <v>40</v>
      </c>
      <c r="J116">
        <v>10</v>
      </c>
      <c r="K116">
        <v>30</v>
      </c>
    </row>
    <row r="117" spans="1:11" ht="12.75">
      <c r="A117" t="s">
        <v>248</v>
      </c>
      <c r="B117" t="s">
        <v>245</v>
      </c>
      <c r="C117">
        <v>20</v>
      </c>
      <c r="D117">
        <v>25</v>
      </c>
      <c r="E117">
        <v>35</v>
      </c>
      <c r="H117">
        <v>30</v>
      </c>
      <c r="I117">
        <v>50</v>
      </c>
      <c r="J117">
        <v>25</v>
      </c>
      <c r="K117">
        <v>40</v>
      </c>
    </row>
    <row r="118" spans="1:11" ht="12.75">
      <c r="A118" t="s">
        <v>315</v>
      </c>
      <c r="B118" t="s">
        <v>246</v>
      </c>
      <c r="C118">
        <v>30</v>
      </c>
      <c r="D118">
        <v>40</v>
      </c>
      <c r="E118">
        <v>50</v>
      </c>
      <c r="H118">
        <v>45</v>
      </c>
      <c r="I118">
        <v>65</v>
      </c>
      <c r="J118">
        <v>40</v>
      </c>
      <c r="K118">
        <v>55</v>
      </c>
    </row>
    <row r="119" ht="12.75">
      <c r="H119">
        <v>0</v>
      </c>
    </row>
    <row r="120" spans="1:8" ht="12.75">
      <c r="A120" t="s">
        <v>254</v>
      </c>
      <c r="B120" t="s">
        <v>234</v>
      </c>
      <c r="C120">
        <v>0</v>
      </c>
      <c r="D120">
        <v>0</v>
      </c>
      <c r="E120">
        <v>0</v>
      </c>
      <c r="H120">
        <v>0</v>
      </c>
    </row>
    <row r="121" spans="1:11" ht="12.75">
      <c r="A121" t="s">
        <v>255</v>
      </c>
      <c r="B121" t="s">
        <v>235</v>
      </c>
      <c r="C121">
        <v>15</v>
      </c>
      <c r="D121">
        <v>20</v>
      </c>
      <c r="E121">
        <v>25</v>
      </c>
      <c r="H121">
        <v>25</v>
      </c>
      <c r="I121">
        <v>30</v>
      </c>
      <c r="J121">
        <v>20</v>
      </c>
      <c r="K121">
        <v>30</v>
      </c>
    </row>
    <row r="122" spans="1:11" ht="12.75">
      <c r="A122" t="s">
        <v>249</v>
      </c>
      <c r="B122" t="s">
        <v>236</v>
      </c>
      <c r="C122">
        <v>30</v>
      </c>
      <c r="D122">
        <v>40</v>
      </c>
      <c r="E122">
        <v>50</v>
      </c>
      <c r="H122">
        <v>45</v>
      </c>
      <c r="I122">
        <v>65</v>
      </c>
      <c r="J122">
        <v>40</v>
      </c>
      <c r="K122">
        <v>55</v>
      </c>
    </row>
    <row r="123" spans="1:11" ht="12.75">
      <c r="A123" t="s">
        <v>250</v>
      </c>
      <c r="B123" t="s">
        <v>237</v>
      </c>
      <c r="C123">
        <v>35</v>
      </c>
      <c r="D123">
        <v>45</v>
      </c>
      <c r="E123">
        <v>60</v>
      </c>
      <c r="H123">
        <v>55</v>
      </c>
      <c r="I123">
        <v>80</v>
      </c>
      <c r="J123">
        <v>50</v>
      </c>
      <c r="K123">
        <v>70</v>
      </c>
    </row>
    <row r="124" spans="1:11" ht="12.75">
      <c r="A124" t="s">
        <v>251</v>
      </c>
      <c r="B124" t="s">
        <v>238</v>
      </c>
      <c r="C124">
        <v>40</v>
      </c>
      <c r="D124">
        <v>50</v>
      </c>
      <c r="E124">
        <v>70</v>
      </c>
      <c r="H124">
        <v>60</v>
      </c>
      <c r="I124">
        <v>100</v>
      </c>
      <c r="J124">
        <v>55</v>
      </c>
      <c r="K124">
        <v>80</v>
      </c>
    </row>
    <row r="125" spans="1:11" ht="12.75">
      <c r="A125" t="s">
        <v>252</v>
      </c>
      <c r="B125" t="s">
        <v>245</v>
      </c>
      <c r="C125">
        <v>50</v>
      </c>
      <c r="D125">
        <v>65</v>
      </c>
      <c r="E125">
        <v>85</v>
      </c>
      <c r="H125">
        <v>75</v>
      </c>
      <c r="I125">
        <v>110</v>
      </c>
      <c r="J125">
        <v>70</v>
      </c>
      <c r="K125">
        <v>95</v>
      </c>
    </row>
    <row r="126" spans="1:11" ht="12.75">
      <c r="A126" t="s">
        <v>253</v>
      </c>
      <c r="B126" t="s">
        <v>246</v>
      </c>
      <c r="C126">
        <v>60</v>
      </c>
      <c r="D126">
        <v>80</v>
      </c>
      <c r="E126">
        <v>100</v>
      </c>
      <c r="H126">
        <v>90</v>
      </c>
      <c r="I126">
        <v>125</v>
      </c>
      <c r="J126">
        <v>85</v>
      </c>
      <c r="K126">
        <v>110</v>
      </c>
    </row>
    <row r="127" ht="12.75">
      <c r="H127">
        <v>0</v>
      </c>
    </row>
    <row r="128" spans="1:8" ht="12.75">
      <c r="A128" t="s">
        <v>256</v>
      </c>
      <c r="H128">
        <v>0</v>
      </c>
    </row>
    <row r="129" spans="1:11" ht="12.75">
      <c r="A129" t="s">
        <v>260</v>
      </c>
      <c r="B129" t="s">
        <v>258</v>
      </c>
      <c r="E129">
        <v>135</v>
      </c>
      <c r="H129">
        <v>70</v>
      </c>
      <c r="I129" t="e">
        <v>#DIV/0!</v>
      </c>
      <c r="J129">
        <v>65</v>
      </c>
      <c r="K129" t="e">
        <v>#DIV/0!</v>
      </c>
    </row>
    <row r="130" spans="1:11" ht="12.75">
      <c r="A130" t="s">
        <v>257</v>
      </c>
      <c r="B130" t="s">
        <v>259</v>
      </c>
      <c r="E130">
        <v>175</v>
      </c>
      <c r="H130">
        <v>90</v>
      </c>
      <c r="I130" t="e">
        <v>#DIV/0!</v>
      </c>
      <c r="J130">
        <v>85</v>
      </c>
      <c r="K130" t="e">
        <v>#DIV/0!</v>
      </c>
    </row>
    <row r="131" ht="12.75">
      <c r="H131">
        <v>0</v>
      </c>
    </row>
    <row r="132" spans="1:8" ht="12.75">
      <c r="A132" t="s">
        <v>262</v>
      </c>
      <c r="H132">
        <v>0</v>
      </c>
    </row>
    <row r="133" spans="1:11" ht="12.75">
      <c r="A133" t="s">
        <v>263</v>
      </c>
      <c r="B133" t="s">
        <v>261</v>
      </c>
      <c r="C133">
        <v>85</v>
      </c>
      <c r="D133">
        <v>105</v>
      </c>
      <c r="E133">
        <v>140</v>
      </c>
      <c r="F133">
        <v>1</v>
      </c>
      <c r="H133">
        <v>125</v>
      </c>
      <c r="I133">
        <v>185</v>
      </c>
      <c r="J133">
        <v>120</v>
      </c>
      <c r="K133">
        <v>155</v>
      </c>
    </row>
    <row r="134" spans="1:11" ht="12.75">
      <c r="A134" t="s">
        <v>264</v>
      </c>
      <c r="B134" t="s">
        <v>269</v>
      </c>
      <c r="C134">
        <v>100</v>
      </c>
      <c r="D134">
        <v>125</v>
      </c>
      <c r="E134">
        <v>165</v>
      </c>
      <c r="F134">
        <v>1</v>
      </c>
      <c r="H134">
        <v>145</v>
      </c>
      <c r="I134">
        <v>220</v>
      </c>
      <c r="J134">
        <v>140</v>
      </c>
      <c r="K134">
        <v>185</v>
      </c>
    </row>
    <row r="135" spans="1:11" ht="12.75">
      <c r="A135" t="s">
        <v>265</v>
      </c>
      <c r="B135" t="s">
        <v>267</v>
      </c>
      <c r="C135">
        <v>105</v>
      </c>
      <c r="D135">
        <v>130</v>
      </c>
      <c r="E135">
        <v>175</v>
      </c>
      <c r="F135">
        <v>1</v>
      </c>
      <c r="H135">
        <v>155</v>
      </c>
      <c r="I135">
        <v>235</v>
      </c>
      <c r="J135">
        <v>150</v>
      </c>
      <c r="K135">
        <v>195</v>
      </c>
    </row>
    <row r="136" spans="1:11" ht="12.75">
      <c r="A136" t="s">
        <v>266</v>
      </c>
      <c r="B136" t="s">
        <v>268</v>
      </c>
      <c r="C136">
        <v>115</v>
      </c>
      <c r="D136">
        <v>145</v>
      </c>
      <c r="E136">
        <v>190</v>
      </c>
      <c r="F136">
        <v>1</v>
      </c>
      <c r="H136">
        <v>170</v>
      </c>
      <c r="I136">
        <v>250</v>
      </c>
      <c r="J136">
        <v>165</v>
      </c>
      <c r="K136">
        <v>210</v>
      </c>
    </row>
    <row r="137" spans="1:11" ht="12.75">
      <c r="A137" t="s">
        <v>273</v>
      </c>
      <c r="B137" t="s">
        <v>270</v>
      </c>
      <c r="C137">
        <v>105</v>
      </c>
      <c r="D137">
        <v>130</v>
      </c>
      <c r="E137">
        <v>175</v>
      </c>
      <c r="F137">
        <v>1</v>
      </c>
      <c r="H137">
        <v>155</v>
      </c>
      <c r="I137">
        <v>235</v>
      </c>
      <c r="J137">
        <v>150</v>
      </c>
      <c r="K137">
        <v>195</v>
      </c>
    </row>
    <row r="138" spans="1:11" ht="12.75">
      <c r="A138" t="s">
        <v>274</v>
      </c>
      <c r="B138" t="s">
        <v>271</v>
      </c>
      <c r="C138">
        <v>120</v>
      </c>
      <c r="D138">
        <v>150</v>
      </c>
      <c r="E138">
        <v>200</v>
      </c>
      <c r="F138">
        <v>1</v>
      </c>
      <c r="H138">
        <v>175</v>
      </c>
      <c r="I138">
        <v>265</v>
      </c>
      <c r="J138">
        <v>170</v>
      </c>
      <c r="K138">
        <v>220</v>
      </c>
    </row>
    <row r="139" spans="1:11" ht="12.75">
      <c r="A139" t="s">
        <v>275</v>
      </c>
      <c r="B139" t="s">
        <v>272</v>
      </c>
      <c r="C139">
        <v>130</v>
      </c>
      <c r="D139">
        <v>165</v>
      </c>
      <c r="E139">
        <v>220</v>
      </c>
      <c r="F139">
        <v>1</v>
      </c>
      <c r="H139">
        <v>195</v>
      </c>
      <c r="I139">
        <v>295</v>
      </c>
      <c r="J139">
        <v>190</v>
      </c>
      <c r="K139">
        <v>245</v>
      </c>
    </row>
    <row r="140" ht="12.75">
      <c r="H140">
        <v>0</v>
      </c>
    </row>
    <row r="141" spans="1:8" ht="12.75">
      <c r="A141" t="s">
        <v>152</v>
      </c>
      <c r="H141">
        <v>0</v>
      </c>
    </row>
    <row r="142" spans="1:11" ht="12.75">
      <c r="A142" t="s">
        <v>276</v>
      </c>
      <c r="B142" t="s">
        <v>283</v>
      </c>
      <c r="C142">
        <v>30</v>
      </c>
      <c r="D142">
        <v>35</v>
      </c>
      <c r="E142">
        <v>50</v>
      </c>
      <c r="H142">
        <v>45</v>
      </c>
      <c r="I142">
        <v>70</v>
      </c>
      <c r="J142">
        <v>40</v>
      </c>
      <c r="K142">
        <v>60</v>
      </c>
    </row>
    <row r="143" spans="1:11" ht="12.75">
      <c r="A143" t="s">
        <v>278</v>
      </c>
      <c r="B143" t="s">
        <v>282</v>
      </c>
      <c r="C143">
        <v>45</v>
      </c>
      <c r="D143">
        <v>55</v>
      </c>
      <c r="E143">
        <v>75</v>
      </c>
      <c r="H143">
        <v>65</v>
      </c>
      <c r="I143">
        <v>100</v>
      </c>
      <c r="J143">
        <v>60</v>
      </c>
      <c r="K143">
        <v>85</v>
      </c>
    </row>
    <row r="144" spans="1:11" ht="12.75">
      <c r="A144" t="s">
        <v>277</v>
      </c>
      <c r="B144" t="s">
        <v>281</v>
      </c>
      <c r="C144">
        <v>50</v>
      </c>
      <c r="D144">
        <v>60</v>
      </c>
      <c r="E144">
        <v>80</v>
      </c>
      <c r="H144">
        <v>70</v>
      </c>
      <c r="I144">
        <v>105</v>
      </c>
      <c r="J144">
        <v>65</v>
      </c>
      <c r="K144">
        <v>90</v>
      </c>
    </row>
    <row r="145" spans="1:11" ht="12.75">
      <c r="A145" t="s">
        <v>279</v>
      </c>
      <c r="B145" t="s">
        <v>280</v>
      </c>
      <c r="C145">
        <v>60</v>
      </c>
      <c r="D145">
        <v>75</v>
      </c>
      <c r="E145">
        <v>100</v>
      </c>
      <c r="H145">
        <v>90</v>
      </c>
      <c r="I145">
        <v>135</v>
      </c>
      <c r="J145">
        <v>85</v>
      </c>
      <c r="K145">
        <v>115</v>
      </c>
    </row>
    <row r="146" ht="12.75">
      <c r="H146">
        <v>0</v>
      </c>
    </row>
    <row r="147" spans="1:8" ht="12.75">
      <c r="A147" t="s">
        <v>86</v>
      </c>
      <c r="H147">
        <v>0</v>
      </c>
    </row>
    <row r="148" spans="1:11" ht="12.75">
      <c r="A148" t="s">
        <v>284</v>
      </c>
      <c r="B148" t="s">
        <v>288</v>
      </c>
      <c r="C148">
        <v>50</v>
      </c>
      <c r="D148">
        <v>60</v>
      </c>
      <c r="E148">
        <v>75</v>
      </c>
      <c r="H148">
        <v>70</v>
      </c>
      <c r="I148">
        <v>95</v>
      </c>
      <c r="J148">
        <v>65</v>
      </c>
      <c r="K148">
        <v>85</v>
      </c>
    </row>
    <row r="149" spans="1:11" ht="12.75">
      <c r="A149" t="s">
        <v>285</v>
      </c>
      <c r="B149" t="s">
        <v>289</v>
      </c>
      <c r="C149">
        <v>55</v>
      </c>
      <c r="D149">
        <v>65</v>
      </c>
      <c r="E149">
        <v>85</v>
      </c>
      <c r="H149">
        <v>75</v>
      </c>
      <c r="I149">
        <v>110</v>
      </c>
      <c r="J149">
        <v>70</v>
      </c>
      <c r="K149">
        <v>95</v>
      </c>
    </row>
    <row r="150" spans="1:11" ht="12.75">
      <c r="A150" t="s">
        <v>92</v>
      </c>
      <c r="B150" t="s">
        <v>291</v>
      </c>
      <c r="C150">
        <v>70</v>
      </c>
      <c r="D150">
        <v>85</v>
      </c>
      <c r="E150">
        <v>105</v>
      </c>
      <c r="H150">
        <v>95</v>
      </c>
      <c r="I150">
        <v>130</v>
      </c>
      <c r="J150">
        <v>90</v>
      </c>
      <c r="K150">
        <v>115</v>
      </c>
    </row>
    <row r="151" spans="1:11" ht="12.75">
      <c r="A151" t="s">
        <v>286</v>
      </c>
      <c r="B151" t="s">
        <v>292</v>
      </c>
      <c r="C151">
        <v>75</v>
      </c>
      <c r="D151">
        <v>90</v>
      </c>
      <c r="E151">
        <v>115</v>
      </c>
      <c r="H151">
        <v>105</v>
      </c>
      <c r="I151">
        <v>145</v>
      </c>
      <c r="J151">
        <v>100</v>
      </c>
      <c r="K151">
        <v>125</v>
      </c>
    </row>
    <row r="152" spans="1:11" ht="12.75">
      <c r="A152" t="s">
        <v>293</v>
      </c>
      <c r="B152" t="s">
        <v>295</v>
      </c>
      <c r="C152">
        <v>100</v>
      </c>
      <c r="D152">
        <v>120</v>
      </c>
      <c r="E152">
        <v>155</v>
      </c>
      <c r="H152">
        <v>140</v>
      </c>
      <c r="I152">
        <v>200</v>
      </c>
      <c r="J152">
        <v>135</v>
      </c>
      <c r="K152">
        <v>170</v>
      </c>
    </row>
    <row r="153" spans="1:11" ht="12.75">
      <c r="A153" t="s">
        <v>294</v>
      </c>
      <c r="B153" t="s">
        <v>296</v>
      </c>
      <c r="C153">
        <v>105</v>
      </c>
      <c r="D153">
        <v>125</v>
      </c>
      <c r="E153">
        <v>165</v>
      </c>
      <c r="H153">
        <v>145</v>
      </c>
      <c r="I153">
        <v>220</v>
      </c>
      <c r="J153">
        <v>140</v>
      </c>
      <c r="K153">
        <v>185</v>
      </c>
    </row>
    <row r="154" spans="1:11" ht="12.75">
      <c r="A154" t="s">
        <v>287</v>
      </c>
      <c r="B154" t="s">
        <v>297</v>
      </c>
      <c r="C154">
        <v>120</v>
      </c>
      <c r="D154">
        <v>145</v>
      </c>
      <c r="E154">
        <v>185</v>
      </c>
      <c r="H154">
        <v>165</v>
      </c>
      <c r="I154">
        <v>235</v>
      </c>
      <c r="J154">
        <v>160</v>
      </c>
      <c r="K154">
        <v>200</v>
      </c>
    </row>
    <row r="155" spans="1:11" ht="12.75">
      <c r="A155" t="s">
        <v>290</v>
      </c>
      <c r="B155" t="s">
        <v>298</v>
      </c>
      <c r="C155">
        <v>125</v>
      </c>
      <c r="D155">
        <v>150</v>
      </c>
      <c r="E155">
        <v>195</v>
      </c>
      <c r="H155">
        <v>175</v>
      </c>
      <c r="I155">
        <v>255</v>
      </c>
      <c r="J155">
        <v>170</v>
      </c>
      <c r="K155">
        <v>215</v>
      </c>
    </row>
    <row r="156" spans="8:11" ht="12.75">
      <c r="H156">
        <v>0</v>
      </c>
      <c r="I156" t="e">
        <v>#DIV/0!</v>
      </c>
      <c r="J156">
        <v>-5</v>
      </c>
      <c r="K156" t="e">
        <v>#DIV/0!</v>
      </c>
    </row>
    <row r="157" spans="1:11" ht="12.75">
      <c r="A157" t="s">
        <v>300</v>
      </c>
      <c r="H157">
        <v>0</v>
      </c>
      <c r="I157" t="e">
        <v>#DIV/0!</v>
      </c>
      <c r="J157">
        <v>-5</v>
      </c>
      <c r="K157" t="e">
        <v>#DIV/0!</v>
      </c>
    </row>
    <row r="158" spans="1:11" ht="12.75">
      <c r="A158" t="s">
        <v>301</v>
      </c>
      <c r="B158" t="s">
        <v>308</v>
      </c>
      <c r="C158">
        <v>55</v>
      </c>
      <c r="D158">
        <v>70</v>
      </c>
      <c r="E158">
        <v>90</v>
      </c>
      <c r="H158">
        <v>80</v>
      </c>
      <c r="I158">
        <v>115</v>
      </c>
      <c r="J158">
        <v>75</v>
      </c>
      <c r="K158">
        <v>100</v>
      </c>
    </row>
    <row r="159" spans="1:11" ht="12.75">
      <c r="A159" t="s">
        <v>302</v>
      </c>
      <c r="B159" t="s">
        <v>343</v>
      </c>
      <c r="C159">
        <v>65</v>
      </c>
      <c r="D159">
        <v>85</v>
      </c>
      <c r="E159">
        <v>110</v>
      </c>
      <c r="H159">
        <v>100</v>
      </c>
      <c r="I159">
        <v>140</v>
      </c>
      <c r="J159">
        <v>95</v>
      </c>
      <c r="K159">
        <v>120</v>
      </c>
    </row>
    <row r="160" spans="8:11" ht="12.75">
      <c r="H160">
        <v>0</v>
      </c>
      <c r="I160" t="e">
        <v>#DIV/0!</v>
      </c>
      <c r="J160">
        <v>-5</v>
      </c>
      <c r="K160" t="e">
        <v>#DIV/0!</v>
      </c>
    </row>
    <row r="161" spans="1:11" ht="12.75">
      <c r="A161" t="s">
        <v>303</v>
      </c>
      <c r="H161">
        <v>0</v>
      </c>
      <c r="I161" t="e">
        <v>#DIV/0!</v>
      </c>
      <c r="J161">
        <v>-5</v>
      </c>
      <c r="K161" t="e">
        <v>#DIV/0!</v>
      </c>
    </row>
    <row r="162" spans="1:11" ht="12.75">
      <c r="A162" t="s">
        <v>304</v>
      </c>
      <c r="B162" t="s">
        <v>307</v>
      </c>
      <c r="C162">
        <v>25</v>
      </c>
      <c r="D162">
        <v>30</v>
      </c>
      <c r="E162">
        <v>40</v>
      </c>
      <c r="H162">
        <v>35</v>
      </c>
      <c r="I162">
        <v>55</v>
      </c>
      <c r="J162">
        <v>30</v>
      </c>
      <c r="K162">
        <v>45</v>
      </c>
    </row>
    <row r="163" spans="1:11" ht="12.75">
      <c r="A163" t="s">
        <v>305</v>
      </c>
      <c r="B163" t="s">
        <v>306</v>
      </c>
      <c r="C163">
        <v>35</v>
      </c>
      <c r="D163">
        <v>45</v>
      </c>
      <c r="E163">
        <v>60</v>
      </c>
      <c r="H163">
        <v>55</v>
      </c>
      <c r="I163">
        <v>80</v>
      </c>
      <c r="J163">
        <v>50</v>
      </c>
      <c r="K163">
        <v>70</v>
      </c>
    </row>
    <row r="164" spans="8:11" ht="12.75">
      <c r="H164">
        <v>0</v>
      </c>
      <c r="I164" t="e">
        <v>#DIV/0!</v>
      </c>
      <c r="J164">
        <v>-5</v>
      </c>
      <c r="K164" t="e">
        <v>#DIV/0!</v>
      </c>
    </row>
    <row r="165" spans="1:11" ht="12.75">
      <c r="A165" t="s">
        <v>319</v>
      </c>
      <c r="H165">
        <v>0</v>
      </c>
      <c r="I165" t="e">
        <v>#DIV/0!</v>
      </c>
      <c r="J165">
        <v>-5</v>
      </c>
      <c r="K165" t="e">
        <v>#DIV/0!</v>
      </c>
    </row>
    <row r="166" spans="1:11" ht="12.75">
      <c r="A166" t="s">
        <v>320</v>
      </c>
      <c r="B166" t="s">
        <v>94</v>
      </c>
      <c r="C166">
        <v>60</v>
      </c>
      <c r="D166">
        <v>60</v>
      </c>
      <c r="E166">
        <v>60</v>
      </c>
      <c r="H166">
        <v>60</v>
      </c>
      <c r="I166">
        <v>60</v>
      </c>
      <c r="J166">
        <v>55</v>
      </c>
      <c r="K166">
        <v>60</v>
      </c>
    </row>
    <row r="167" spans="1:11" ht="12.75">
      <c r="A167" t="s">
        <v>321</v>
      </c>
      <c r="B167" t="s">
        <v>322</v>
      </c>
      <c r="C167">
        <v>100</v>
      </c>
      <c r="D167">
        <v>100</v>
      </c>
      <c r="E167">
        <v>100</v>
      </c>
      <c r="H167">
        <v>100</v>
      </c>
      <c r="I167">
        <v>100</v>
      </c>
      <c r="J167">
        <v>95</v>
      </c>
      <c r="K167">
        <v>100</v>
      </c>
    </row>
    <row r="168" spans="8:11" ht="12.75">
      <c r="H168">
        <v>0</v>
      </c>
      <c r="I168" t="e">
        <v>#DIV/0!</v>
      </c>
      <c r="J168">
        <v>-5</v>
      </c>
      <c r="K168" t="e">
        <v>#DIV/0!</v>
      </c>
    </row>
    <row r="169" spans="1:11" ht="12.75">
      <c r="A169" t="s">
        <v>323</v>
      </c>
      <c r="H169">
        <v>0</v>
      </c>
      <c r="I169" t="e">
        <v>#DIV/0!</v>
      </c>
      <c r="J169">
        <v>-5</v>
      </c>
      <c r="K169" t="e">
        <v>#DIV/0!</v>
      </c>
    </row>
    <row r="170" spans="1:11" ht="12.75">
      <c r="A170" t="s">
        <v>324</v>
      </c>
      <c r="B170" t="s">
        <v>94</v>
      </c>
      <c r="C170">
        <v>40</v>
      </c>
      <c r="D170">
        <v>50</v>
      </c>
      <c r="E170">
        <v>65</v>
      </c>
      <c r="H170">
        <v>60</v>
      </c>
      <c r="I170">
        <v>85</v>
      </c>
      <c r="J170">
        <v>55</v>
      </c>
      <c r="K170">
        <v>75</v>
      </c>
    </row>
    <row r="171" spans="8:11" ht="12.75">
      <c r="H171">
        <v>0</v>
      </c>
      <c r="I171" t="e">
        <v>#DIV/0!</v>
      </c>
      <c r="J171">
        <v>-5</v>
      </c>
      <c r="K171" t="e">
        <v>#DIV/0!</v>
      </c>
    </row>
    <row r="172" spans="1:11" ht="12.75">
      <c r="A172" t="s">
        <v>326</v>
      </c>
      <c r="H172">
        <v>0</v>
      </c>
      <c r="I172" t="e">
        <v>#DIV/0!</v>
      </c>
      <c r="J172">
        <v>-5</v>
      </c>
      <c r="K172" t="e">
        <v>#DIV/0!</v>
      </c>
    </row>
    <row r="173" spans="1:11" ht="12.75">
      <c r="A173" t="s">
        <v>327</v>
      </c>
      <c r="B173" t="s">
        <v>328</v>
      </c>
      <c r="C173">
        <v>55</v>
      </c>
      <c r="D173">
        <v>70</v>
      </c>
      <c r="E173">
        <v>90</v>
      </c>
      <c r="H173">
        <v>80</v>
      </c>
      <c r="I173">
        <v>115</v>
      </c>
      <c r="J173">
        <v>75</v>
      </c>
      <c r="K173">
        <v>100</v>
      </c>
    </row>
    <row r="174" spans="8:11" ht="12.75">
      <c r="H174">
        <v>0</v>
      </c>
      <c r="I174" t="e">
        <v>#DIV/0!</v>
      </c>
      <c r="J174">
        <v>-5</v>
      </c>
      <c r="K174" t="e">
        <v>#DIV/0!</v>
      </c>
    </row>
    <row r="175" spans="1:10" ht="12.75">
      <c r="A175" t="s">
        <v>329</v>
      </c>
      <c r="H175">
        <v>0</v>
      </c>
      <c r="J175">
        <v>-5</v>
      </c>
    </row>
    <row r="176" spans="1:10" ht="12.75">
      <c r="A176" t="s">
        <v>330</v>
      </c>
      <c r="B176" t="s">
        <v>333</v>
      </c>
      <c r="E176">
        <v>150</v>
      </c>
      <c r="H176">
        <v>75</v>
      </c>
      <c r="J176">
        <v>70</v>
      </c>
    </row>
    <row r="177" spans="8:10" ht="12.75">
      <c r="H177">
        <v>0</v>
      </c>
      <c r="J177">
        <v>-5</v>
      </c>
    </row>
    <row r="178" spans="1:10" ht="12.75">
      <c r="A178" t="s">
        <v>331</v>
      </c>
      <c r="H178">
        <v>0</v>
      </c>
      <c r="J178">
        <v>-5</v>
      </c>
    </row>
    <row r="179" spans="1:10" ht="12.75">
      <c r="A179" t="s">
        <v>332</v>
      </c>
      <c r="B179" t="s">
        <v>334</v>
      </c>
      <c r="E179">
        <v>80</v>
      </c>
      <c r="H179">
        <v>40</v>
      </c>
      <c r="J179">
        <v>35</v>
      </c>
    </row>
    <row r="180" spans="8:10" ht="12.75">
      <c r="H180">
        <v>0</v>
      </c>
      <c r="J180">
        <v>-5</v>
      </c>
    </row>
    <row r="181" spans="1:10" ht="12.75">
      <c r="A181" t="s">
        <v>335</v>
      </c>
      <c r="H181">
        <v>0</v>
      </c>
      <c r="J181">
        <v>-5</v>
      </c>
    </row>
    <row r="182" spans="1:10" ht="12.75">
      <c r="A182" t="s">
        <v>336</v>
      </c>
      <c r="B182" t="s">
        <v>337</v>
      </c>
      <c r="E182">
        <v>35</v>
      </c>
      <c r="H182">
        <v>20</v>
      </c>
      <c r="J182">
        <v>15</v>
      </c>
    </row>
    <row r="183" spans="8:10" ht="12.75">
      <c r="H183">
        <v>0</v>
      </c>
      <c r="J183">
        <v>-5</v>
      </c>
    </row>
    <row r="184" spans="1:10" ht="12.75">
      <c r="A184" t="s">
        <v>338</v>
      </c>
      <c r="H184">
        <v>0</v>
      </c>
      <c r="J184">
        <v>-5</v>
      </c>
    </row>
    <row r="185" spans="1:10" ht="12.75">
      <c r="A185" t="s">
        <v>339</v>
      </c>
      <c r="B185" t="s">
        <v>340</v>
      </c>
      <c r="E185">
        <v>100</v>
      </c>
      <c r="H185">
        <v>50</v>
      </c>
      <c r="J185">
        <v>45</v>
      </c>
    </row>
    <row r="186" ht="12.75">
      <c r="H186">
        <v>0</v>
      </c>
    </row>
    <row r="187" ht="12.75">
      <c r="H187">
        <v>0</v>
      </c>
    </row>
    <row r="188" ht="12.75">
      <c r="H188">
        <v>0</v>
      </c>
    </row>
    <row r="189" ht="12.75">
      <c r="H189">
        <v>0</v>
      </c>
    </row>
    <row r="190" ht="12.75">
      <c r="H190">
        <v>0</v>
      </c>
    </row>
    <row r="191" ht="12.75">
      <c r="H191">
        <v>0</v>
      </c>
    </row>
    <row r="192" ht="12.75">
      <c r="H192">
        <v>0</v>
      </c>
    </row>
    <row r="193" ht="12.75">
      <c r="H193">
        <v>0</v>
      </c>
    </row>
    <row r="194" ht="12.75">
      <c r="H194">
        <v>0</v>
      </c>
    </row>
    <row r="195" ht="12.75">
      <c r="H195">
        <v>0</v>
      </c>
    </row>
    <row r="196" ht="12.75">
      <c r="H196">
        <v>0</v>
      </c>
    </row>
    <row r="197" ht="12.75">
      <c r="H197">
        <v>0</v>
      </c>
    </row>
    <row r="198" ht="12.75">
      <c r="H198">
        <v>0</v>
      </c>
    </row>
    <row r="199" ht="12.75">
      <c r="H199">
        <v>0</v>
      </c>
    </row>
    <row r="200" ht="12.75">
      <c r="H200">
        <v>0</v>
      </c>
    </row>
    <row r="201" ht="12.75">
      <c r="H201">
        <v>0</v>
      </c>
    </row>
    <row r="202" ht="12.75">
      <c r="H202">
        <v>0</v>
      </c>
    </row>
    <row r="203" ht="12.75">
      <c r="H203">
        <v>0</v>
      </c>
    </row>
    <row r="204" ht="12.75">
      <c r="H204">
        <v>0</v>
      </c>
    </row>
    <row r="205" ht="12.75">
      <c r="H205">
        <v>0</v>
      </c>
    </row>
  </sheetData>
  <dataValidations count="7">
    <dataValidation type="list" allowBlank="1" showInputMessage="1" showErrorMessage="1" sqref="D16">
      <formula1>abhmg</formula1>
    </dataValidation>
    <dataValidation type="list" allowBlank="1" showInputMessage="1" showErrorMessage="1" sqref="D15">
      <formula1>ABrec</formula1>
    </dataValidation>
    <dataValidation type="list" allowBlank="1" showInputMessage="1" showErrorMessage="1" sqref="D13">
      <formula1>ABwpn</formula1>
    </dataValidation>
    <dataValidation type="list" allowBlank="1" showInputMessage="1" showErrorMessage="1" sqref="D12">
      <formula1>rifco</formula1>
    </dataValidation>
    <dataValidation type="list" allowBlank="1" showInputMessage="1" showErrorMessage="1" sqref="C12:C16 E5">
      <formula1>qual</formula1>
    </dataValidation>
    <dataValidation type="list" allowBlank="1" showInputMessage="1" showErrorMessage="1" prompt="Select allocation for this item (not whole Core)&#10;&#10;" sqref="J6:J205">
      <formula1>force</formula1>
    </dataValidation>
    <dataValidation type="list" allowBlank="1" showInputMessage="1" showErrorMessage="1" prompt="Select Force for entire Core Battle Group&#10;" sqref="J5">
      <formula1>force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 Aerospace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Malthus</dc:creator>
  <cp:keywords/>
  <dc:description/>
  <cp:lastModifiedBy>malthup</cp:lastModifiedBy>
  <dcterms:created xsi:type="dcterms:W3CDTF">2006-11-27T16:33:59Z</dcterms:created>
  <dcterms:modified xsi:type="dcterms:W3CDTF">2007-02-15T14:37:21Z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